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laura-brynnneuhoff/Downloads/"/>
    </mc:Choice>
  </mc:AlternateContent>
  <xr:revisionPtr revIDLastSave="0" documentId="13_ncr:1_{E5592BA1-F3A3-9840-93A6-1186F2BD4BC2}" xr6:coauthVersionLast="47" xr6:coauthVersionMax="47" xr10:uidLastSave="{00000000-0000-0000-0000-000000000000}"/>
  <bookViews>
    <workbookView xWindow="0" yWindow="500" windowWidth="28800" windowHeight="16360" tabRatio="500" activeTab="3" xr2:uid="{00000000-000D-0000-FFFF-FFFF00000000}"/>
  </bookViews>
  <sheets>
    <sheet name="Executive Summary" sheetId="1" r:id="rId1"/>
    <sheet name="Assumptions" sheetId="2" r:id="rId2"/>
    <sheet name="Capital Stack" sheetId="3" r:id="rId3"/>
    <sheet name="P&amp;L Projection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9" i="1" l="1"/>
  <c r="B40" i="1"/>
  <c r="F30" i="4"/>
  <c r="E30" i="4"/>
  <c r="D30" i="4"/>
  <c r="C30" i="4"/>
  <c r="B30" i="4"/>
  <c r="F14" i="4"/>
  <c r="E14" i="4"/>
  <c r="D14" i="4"/>
  <c r="C14" i="4"/>
  <c r="B14" i="4"/>
  <c r="F13" i="4"/>
  <c r="E13" i="4"/>
  <c r="D13" i="4"/>
  <c r="C13" i="4"/>
  <c r="B13" i="4"/>
  <c r="F12" i="4"/>
  <c r="E12" i="4"/>
  <c r="D12" i="4"/>
  <c r="C12" i="4"/>
  <c r="B12" i="4"/>
  <c r="F11" i="4"/>
  <c r="E11" i="4"/>
  <c r="D11" i="4"/>
  <c r="C11" i="4"/>
  <c r="B11" i="4"/>
  <c r="F9" i="4"/>
  <c r="B27" i="1" s="1"/>
  <c r="E9" i="4"/>
  <c r="E15" i="4" s="1"/>
  <c r="D9" i="4"/>
  <c r="B26" i="1" s="1"/>
  <c r="C9" i="4"/>
  <c r="B25" i="1" s="1"/>
  <c r="B9" i="4"/>
  <c r="B15" i="4" s="1"/>
  <c r="B31" i="3"/>
  <c r="B32" i="3" s="1"/>
  <c r="B30" i="3"/>
  <c r="B28" i="3"/>
  <c r="B20" i="3"/>
  <c r="B19" i="3"/>
  <c r="B18" i="3"/>
  <c r="B17" i="3"/>
  <c r="B16" i="3"/>
  <c r="B15" i="3"/>
  <c r="B9" i="3"/>
  <c r="B6" i="3"/>
  <c r="B5" i="3"/>
  <c r="B60" i="2"/>
  <c r="B56" i="2"/>
  <c r="B42" i="2"/>
  <c r="B39" i="2"/>
  <c r="B26" i="2"/>
  <c r="B8" i="3" s="1"/>
  <c r="B25" i="2"/>
  <c r="B7" i="3" s="1"/>
  <c r="B24" i="2"/>
  <c r="B29" i="2" s="1"/>
  <c r="B13" i="2"/>
  <c r="B12" i="2"/>
  <c r="B14" i="3" s="1"/>
  <c r="B36" i="1"/>
  <c r="B35" i="1"/>
  <c r="B34" i="1"/>
  <c r="B17" i="1"/>
  <c r="B14" i="1"/>
  <c r="B13" i="1"/>
  <c r="B8" i="1"/>
  <c r="B7" i="1"/>
  <c r="B6" i="1"/>
  <c r="B5" i="1"/>
  <c r="B24" i="1" l="1"/>
  <c r="B29" i="3"/>
  <c r="B41" i="1"/>
  <c r="B19" i="2"/>
  <c r="B12" i="1" s="1"/>
  <c r="B10" i="3"/>
  <c r="C7" i="3" s="1"/>
  <c r="B36" i="2"/>
  <c r="B43" i="2" s="1"/>
  <c r="B57" i="2" s="1"/>
  <c r="B58" i="2" s="1"/>
  <c r="B43" i="1"/>
  <c r="B16" i="4"/>
  <c r="B26" i="4"/>
  <c r="E16" i="4"/>
  <c r="E26" i="4"/>
  <c r="B42" i="1"/>
  <c r="C15" i="4"/>
  <c r="B15" i="1"/>
  <c r="D15" i="4"/>
  <c r="B16" i="1"/>
  <c r="B30" i="2"/>
  <c r="B19" i="1" s="1"/>
  <c r="F15" i="4"/>
  <c r="B28" i="2"/>
  <c r="B18" i="1" s="1"/>
  <c r="B34" i="3"/>
  <c r="C8" i="3" l="1"/>
  <c r="C5" i="3"/>
  <c r="C9" i="3"/>
  <c r="C6" i="3"/>
  <c r="C10" i="3" s="1"/>
  <c r="B21" i="3"/>
  <c r="B31" i="2"/>
  <c r="B20" i="1"/>
  <c r="B44" i="2"/>
  <c r="E28" i="4" s="1"/>
  <c r="B44" i="1"/>
  <c r="B35" i="3"/>
  <c r="B61" i="2"/>
  <c r="B31" i="1" s="1"/>
  <c r="B59" i="2"/>
  <c r="F16" i="4"/>
  <c r="F26" i="4"/>
  <c r="B27" i="4"/>
  <c r="D26" i="4"/>
  <c r="D16" i="4"/>
  <c r="C16" i="4"/>
  <c r="C26" i="4"/>
  <c r="B28" i="4"/>
  <c r="B32" i="4" s="1"/>
  <c r="F19" i="4"/>
  <c r="F24" i="4" s="1"/>
  <c r="E19" i="4"/>
  <c r="E24" i="4" s="1"/>
  <c r="C19" i="4"/>
  <c r="C24" i="4" s="1"/>
  <c r="D19" i="4"/>
  <c r="D24" i="4" s="1"/>
  <c r="F28" i="4"/>
  <c r="B19" i="4"/>
  <c r="B24" i="4" s="1"/>
  <c r="B21" i="1"/>
  <c r="C28" i="4"/>
  <c r="E27" i="4"/>
  <c r="E29" i="4" l="1"/>
  <c r="E32" i="4"/>
  <c r="E31" i="4"/>
  <c r="D28" i="4"/>
  <c r="D32" i="4" s="1"/>
  <c r="B30" i="1" s="1"/>
  <c r="B29" i="4"/>
  <c r="C31" i="4"/>
  <c r="C32" i="4"/>
  <c r="C29" i="4"/>
  <c r="C27" i="4"/>
  <c r="B31" i="4"/>
  <c r="F32" i="4"/>
  <c r="F27" i="4"/>
  <c r="F31" i="4"/>
  <c r="F29" i="4"/>
  <c r="D29" i="4"/>
  <c r="B28" i="1"/>
  <c r="D27" i="4"/>
  <c r="B36" i="3"/>
  <c r="B46" i="1" s="1"/>
  <c r="B45" i="1"/>
  <c r="D31" i="4" l="1"/>
  <c r="B29" i="1" s="1"/>
</calcChain>
</file>

<file path=xl/sharedStrings.xml><?xml version="1.0" encoding="utf-8"?>
<sst xmlns="http://schemas.openxmlformats.org/spreadsheetml/2006/main" count="254" uniqueCount="230">
  <si>
    <t>NEUHOFF RANCH — THE DUCHESS OF DEL RAY</t>
  </si>
  <si>
    <t>Executive Summary | 2100 Mt Vernon Ave, Alexandria VA 22301 | March 2026</t>
  </si>
  <si>
    <t>THE PROPERTY</t>
  </si>
  <si>
    <t>MLS Asking Price</t>
  </si>
  <si>
    <t>Negotiated Purchase Price</t>
  </si>
  <si>
    <t>Lot Size (sq ft)</t>
  </si>
  <si>
    <t>5 commercial lots, corner location</t>
  </si>
  <si>
    <t>Parking Spaces</t>
  </si>
  <si>
    <t>Rare asset on The Avenue</t>
  </si>
  <si>
    <t>Year Built</t>
  </si>
  <si>
    <t>Victorian four-square — fully renovated</t>
  </si>
  <si>
    <t>CAPITAL STRUCTURE</t>
  </si>
  <si>
    <t>All-In Project Cost</t>
  </si>
  <si>
    <t>Acquisition + reno + working capital</t>
  </si>
  <si>
    <t>Founder Equity (cash in)</t>
  </si>
  <si>
    <t>Your $100K</t>
  </si>
  <si>
    <t>Investor Equity Ask</t>
  </si>
  <si>
    <t>Total Equity</t>
  </si>
  <si>
    <t>SBA 504 Debt (RE)</t>
  </si>
  <si>
    <t>Bank 1st + CDC 2nd</t>
  </si>
  <si>
    <t>SBA 7(a) Reno Loan</t>
  </si>
  <si>
    <t>Build-out financing</t>
  </si>
  <si>
    <t>Total Debt</t>
  </si>
  <si>
    <t>All three tranches</t>
  </si>
  <si>
    <t>Equity % of RE Purchase</t>
  </si>
  <si>
    <t>Must be ≥10% for SBA 504</t>
  </si>
  <si>
    <t>Monthly Debt Service</t>
  </si>
  <si>
    <t>Bank + CDC + 7(a) combined</t>
  </si>
  <si>
    <t>Annual Debt Service</t>
  </si>
  <si>
    <t>REVENUE &amp; PROFITABILITY (BASE CASE)</t>
  </si>
  <si>
    <t>Yr 1 Revenue (partial)</t>
  </si>
  <si>
    <t>Yr 2 Revenue</t>
  </si>
  <si>
    <t>First full year</t>
  </si>
  <si>
    <t>Yr 3 Revenue</t>
  </si>
  <si>
    <t>Full stride — DSCR milestone</t>
  </si>
  <si>
    <t>Yr 5 Revenue</t>
  </si>
  <si>
    <t>Mature operations</t>
  </si>
  <si>
    <t>Yr 3 NOI</t>
  </si>
  <si>
    <t>Before live-above benefit</t>
  </si>
  <si>
    <t>Yr 3 DSCR</t>
  </si>
  <si>
    <t>SBA minimum = 1.25x</t>
  </si>
  <si>
    <t>Yr 3 DSCR (w/ live-above)</t>
  </si>
  <si>
    <t>Incl. $54K/yr mortgage savings</t>
  </si>
  <si>
    <t>Effective Break-Even Rev</t>
  </si>
  <si>
    <t>Monthly revenue floor after live-above</t>
  </si>
  <si>
    <t>THE LIVE-ABOVE ADVANTAGE</t>
  </si>
  <si>
    <t>Monthly Mortgage Eliminated</t>
  </si>
  <si>
    <t>Moves in, no more $4,500/mo payment</t>
  </si>
  <si>
    <t>Annual Savings</t>
  </si>
  <si>
    <t>Acts as additional business revenue</t>
  </si>
  <si>
    <t>5-Year Cumulative Benefit</t>
  </si>
  <si>
    <t>$270K in retained cash over 5 years</t>
  </si>
  <si>
    <t>INVESTOR RETURN PROFILE</t>
  </si>
  <si>
    <t>Target check size</t>
  </si>
  <si>
    <t>Preferred Annual Return</t>
  </si>
  <si>
    <t>8% preferred</t>
  </si>
  <si>
    <t>Annual Cash Distribution</t>
  </si>
  <si>
    <t>Paid before founder draws</t>
  </si>
  <si>
    <t>5-Year Preferred Total</t>
  </si>
  <si>
    <t>Property Appreciation (5yr, 4%/yr)</t>
  </si>
  <si>
    <t>On $3.6M purchase</t>
  </si>
  <si>
    <t>Investor Share of Appreciation</t>
  </si>
  <si>
    <t>Pro-rata of equity</t>
  </si>
  <si>
    <t>Total 5-Year Return</t>
  </si>
  <si>
    <t>Investor MOIC (5yr)</t>
  </si>
  <si>
    <t>Multiple on invested capital</t>
  </si>
  <si>
    <t>Financial Model — Assumptions | 2100 Mt Vernon Ave, Alexandria VA 22301</t>
  </si>
  <si>
    <t>PROPERTY — 2100 MT VERNON AVE (THE DUCHESS)</t>
  </si>
  <si>
    <t>Source: Corcoran MLS #100157023, March 2026</t>
  </si>
  <si>
    <t>15% below ask — reflects property condition / motivated seller</t>
  </si>
  <si>
    <t>5 commercial lots, corner Windsor &amp; Mt Vernon</t>
  </si>
  <si>
    <t>Building Sq Ft (main + rear)</t>
  </si>
  <si>
    <t>Main commercial + residence + rear building</t>
  </si>
  <si>
    <t>PROJECT COSTS (ACQUISITION + RENOVATION)</t>
  </si>
  <si>
    <t>Purchase Price</t>
  </si>
  <si>
    <t>Negotiated price</t>
  </si>
  <si>
    <t>Acquisition Costs (2% of purchase)</t>
  </si>
  <si>
    <t>Title, legal, inspection, closing</t>
  </si>
  <si>
    <t>Renovation &amp; Build-out</t>
  </si>
  <si>
    <t>Salon→retail/bar; rear building→event space</t>
  </si>
  <si>
    <t>FF&amp;E</t>
  </si>
  <si>
    <t>Soft Costs (arch, ABRA, permits)</t>
  </si>
  <si>
    <t>Architecture, liquor license, permits</t>
  </si>
  <si>
    <t>Working Capital Reserve</t>
  </si>
  <si>
    <t>~6 months operating float</t>
  </si>
  <si>
    <t>Pre-Opening Marketing</t>
  </si>
  <si>
    <t>Launch campaign</t>
  </si>
  <si>
    <t>TOTAL ALL-IN PROJECT COST</t>
  </si>
  <si>
    <t>FINANCING — THREE-TRANCHE STRUCTURE</t>
  </si>
  <si>
    <t>Investor Equity (F&amp;F / Angel)</t>
  </si>
  <si>
    <t>Brings total equity to $320K = 10% of purchase</t>
  </si>
  <si>
    <t>SBA 504 — Bank 1st Mortgage (50% of RE)</t>
  </si>
  <si>
    <t>Secured by real estate</t>
  </si>
  <si>
    <t>SBA 504 — CDC 2nd Mortgage (40% of RE)</t>
  </si>
  <si>
    <t>25yr fixed — key SBA advantage</t>
  </si>
  <si>
    <t>SBA 7(a) — Renovation Loan</t>
  </si>
  <si>
    <t>Covers build-out; slightly reduced scope at lower price</t>
  </si>
  <si>
    <t>Total Capitalization</t>
  </si>
  <si>
    <t>Should ≈ all-in project cost</t>
  </si>
  <si>
    <t>Exactly 10% — SBA 504 minimum satisfied</t>
  </si>
  <si>
    <t>Total Equity % of All-In</t>
  </si>
  <si>
    <t>Overall equity contribution</t>
  </si>
  <si>
    <t>DEBT SERVICE</t>
  </si>
  <si>
    <t>Bank 1st Rate</t>
  </si>
  <si>
    <t>7.5% — current SBA 504 bank rate</t>
  </si>
  <si>
    <t>Bank 1st Term (months)</t>
  </si>
  <si>
    <t>20 years</t>
  </si>
  <si>
    <t>Bank 1st Monthly Payment</t>
  </si>
  <si>
    <t>CDC 2nd Rate</t>
  </si>
  <si>
    <t>6.5% fixed — 25yr SBA debenture</t>
  </si>
  <si>
    <t>CDC 2nd Term (months)</t>
  </si>
  <si>
    <t>25 years</t>
  </si>
  <si>
    <t>CDC 2nd Monthly Payment</t>
  </si>
  <si>
    <t>SBA 7(a) Reno Rate</t>
  </si>
  <si>
    <t>8.5% — current SBA 7(a) rate</t>
  </si>
  <si>
    <t>SBA 7(a) Term (months)</t>
  </si>
  <si>
    <t>10 years</t>
  </si>
  <si>
    <t>SBA 7(a) Monthly Payment</t>
  </si>
  <si>
    <t>TOTAL Monthly Debt Service</t>
  </si>
  <si>
    <t>TOTAL Annual Debt Service</t>
  </si>
  <si>
    <t>OPERATING ASSUMPTIONS</t>
  </si>
  <si>
    <t>Retail Gross Margin</t>
  </si>
  <si>
    <t>Year 1; target 58% by Yr 3 w/ better sourcing</t>
  </si>
  <si>
    <t>Bar Gross Margin (net NRG 6%)</t>
  </si>
  <si>
    <t>NRG manages bar at 6% gross bar sales</t>
  </si>
  <si>
    <t>Events Gross Margin</t>
  </si>
  <si>
    <t>Private hire — very low COGS</t>
  </si>
  <si>
    <t>Corp Gifting Gross Margin</t>
  </si>
  <si>
    <t>High-margin, Year 2+ growth driver</t>
  </si>
  <si>
    <t>Fixed Monthly OpEx (excl. debt)</t>
  </si>
  <si>
    <t>Payroll, utilities, insurance, supplies</t>
  </si>
  <si>
    <t>Annual OpEx Escalator</t>
  </si>
  <si>
    <t>3% annual inflation adjustment</t>
  </si>
  <si>
    <t>Live-Above: Monthly Mort. Savings</t>
  </si>
  <si>
    <t>BREAK-EVEN SUMMARY</t>
  </si>
  <si>
    <t>Monthly Fixed Costs (OpEx only)</t>
  </si>
  <si>
    <t>Excl. debt service</t>
  </si>
  <si>
    <t>Total Monthly Fixed Obligations</t>
  </si>
  <si>
    <t>Revenue Needed at 55% Margin</t>
  </si>
  <si>
    <t>Conservative floor</t>
  </si>
  <si>
    <t>Less: Live-Above Monthly Benefit</t>
  </si>
  <si>
    <t>Mortgage savings</t>
  </si>
  <si>
    <t>NET Monthly Revenue Needed</t>
  </si>
  <si>
    <t>Effective break-even floor</t>
  </si>
  <si>
    <t>THE DUCHESS — CAPITAL STACK &amp; INVESTOR RETURNS</t>
  </si>
  <si>
    <t>CAPITAL STACK</t>
  </si>
  <si>
    <t>Source</t>
  </si>
  <si>
    <t>Amount</t>
  </si>
  <si>
    <t>% of Cap</t>
  </si>
  <si>
    <t>Notes</t>
  </si>
  <si>
    <t>Founder Equity</t>
  </si>
  <si>
    <t>Your $100K cash-in</t>
  </si>
  <si>
    <t>$375K — see return profile below</t>
  </si>
  <si>
    <t>SBA 504 — Bank 1st (50% of RE)</t>
  </si>
  <si>
    <t>7.5% / 20yr, secured by property</t>
  </si>
  <si>
    <t>SBA 504 — CDC 2nd (40% of RE)</t>
  </si>
  <si>
    <t>6.5% fixed / 25yr — key SBA benefit</t>
  </si>
  <si>
    <t>8.5% / 10yr, covers build-out</t>
  </si>
  <si>
    <t>TOTAL CAPITALIZATION</t>
  </si>
  <si>
    <t>ALL-IN PROJECT COST</t>
  </si>
  <si>
    <t>Line Item</t>
  </si>
  <si>
    <t>Cost</t>
  </si>
  <si>
    <t>Purchase Price (negotiated)</t>
  </si>
  <si>
    <t>4% below $3.75M ask</t>
  </si>
  <si>
    <t>Acquisition Costs (2%)</t>
  </si>
  <si>
    <t>Title, legal, inspection</t>
  </si>
  <si>
    <t>Commercial conversion + event space</t>
  </si>
  <si>
    <t>Bar, retail, event fixtures</t>
  </si>
  <si>
    <t>Soft Costs</t>
  </si>
  <si>
    <t>Architecture, ABRA, permits</t>
  </si>
  <si>
    <t>6-month float</t>
  </si>
  <si>
    <t>Launch</t>
  </si>
  <si>
    <t>TOTAL PROJECT COST</t>
  </si>
  <si>
    <t>Metric</t>
  </si>
  <si>
    <t>Value</t>
  </si>
  <si>
    <t>Investor Equity Invested</t>
  </si>
  <si>
    <t>Total check size</t>
  </si>
  <si>
    <t>8% preferred — paid before founders</t>
  </si>
  <si>
    <t>Annual Cash Preferred Distribution</t>
  </si>
  <si>
    <t>Year 1 onward</t>
  </si>
  <si>
    <t>5-Year Cumulative Preferred</t>
  </si>
  <si>
    <t>Non-compounding</t>
  </si>
  <si>
    <t>Property: Purchase Price</t>
  </si>
  <si>
    <t>Property: Est. Value @ Yr 5 (4%/yr)</t>
  </si>
  <si>
    <t>4% annual appreciation</t>
  </si>
  <si>
    <t>Total Appreciation (5yr)</t>
  </si>
  <si>
    <t>Investor Equity Stake %</t>
  </si>
  <si>
    <t>Pro-rata of total equity</t>
  </si>
  <si>
    <t>Total 5-Year Investor Return</t>
  </si>
  <si>
    <t>Pref distributions + appr. share</t>
  </si>
  <si>
    <t>THE DUCHESS — 5-YEAR P&amp;L PROJECTIONS</t>
  </si>
  <si>
    <t>Base Case | Hosting &amp; Entertaining Focus | Del Ray, Alexandria VA</t>
  </si>
  <si>
    <t>Yr 2</t>
  </si>
  <si>
    <t>Yr 3</t>
  </si>
  <si>
    <t>Yr 4</t>
  </si>
  <si>
    <t>Yr 5</t>
  </si>
  <si>
    <t>REVENUE</t>
  </si>
  <si>
    <t>Retail — Home Goods &amp; Entertaining</t>
  </si>
  <si>
    <t>Bar (NRG-managed, net of 6% fee)</t>
  </si>
  <si>
    <t>Events &amp; Private Hire (rear bldg)</t>
  </si>
  <si>
    <t>Corporate Gifting (Year 2+ driver)</t>
  </si>
  <si>
    <t>TOTAL REVENUE</t>
  </si>
  <si>
    <t>COST OF GOODS SOLD</t>
  </si>
  <si>
    <t>Retail COGS (45%)</t>
  </si>
  <si>
    <t>Bar COGS (28%)</t>
  </si>
  <si>
    <t>Events COGS (18%)</t>
  </si>
  <si>
    <t>Gifting COGS (40%)</t>
  </si>
  <si>
    <t>TOTAL GROSS PROFIT</t>
  </si>
  <si>
    <t xml:space="preserve">  Gross Margin %</t>
  </si>
  <si>
    <t>OPERATING EXPENSES (monthly × 12)</t>
  </si>
  <si>
    <t>Payroll &amp; Benefits</t>
  </si>
  <si>
    <t>Total Debt Service (annual)</t>
  </si>
  <si>
    <t>Utilities &amp; Insurance</t>
  </si>
  <si>
    <t>Marketing &amp; Events Exp.</t>
  </si>
  <si>
    <t>POS, Software, Supplies</t>
  </si>
  <si>
    <t>Misc &amp; Contingency</t>
  </si>
  <si>
    <t>TOTAL OPERATING EXPENSES</t>
  </si>
  <si>
    <t>NET OPERATING INCOME</t>
  </si>
  <si>
    <t>EBITDA (excl. debt service)</t>
  </si>
  <si>
    <t xml:space="preserve">  EBITDA Margin %</t>
  </si>
  <si>
    <t>Net Cash Flow (EBITDA - DS)</t>
  </si>
  <si>
    <t xml:space="preserve">  + Live-Above Benefit (annual)</t>
  </si>
  <si>
    <t>DSCR  (EBITDA / Debt Service)</t>
  </si>
  <si>
    <t>DSCR  incl. Live-Above Benefit</t>
  </si>
  <si>
    <t>Opening Inventory</t>
  </si>
  <si>
    <t>Pre-Opening Events and Marketing</t>
  </si>
  <si>
    <t>Yr 1</t>
  </si>
  <si>
    <t>See investor returns tab</t>
  </si>
  <si>
    <t>~6 months Thu–Sun soft open</t>
  </si>
  <si>
    <t>From LB + JG Salaries (current mortgage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</si>
</sst>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&quot;($&quot;#,##0\);\-"/>
    <numFmt numFmtId="165" formatCode="#,##0;\(#,##0\);\-"/>
    <numFmt numFmtId="166" formatCode="0.0%;\(0.0%\);\-"/>
    <numFmt numFmtId="167" formatCode="0.00\x"/>
  </numFmts>
  <fonts count="9" x14ac:knownFonts="1">
    <font>
      <sz val="11"/>
      <color theme="1"/>
      <name val="Calibri"/>
      <family val="2"/>
      <charset val="1"/>
    </font>
    <font>
      <b/>
      <sz val="14"/>
      <color rgb="FFF2E8D0"/>
      <name val="Arial"/>
      <family val="2"/>
    </font>
    <font>
      <b/>
      <sz val="10"/>
      <color rgb="FFF2E8D0"/>
      <name val="Arial"/>
      <family val="2"/>
    </font>
    <font>
      <sz val="10"/>
      <color rgb="FF000000"/>
      <name val="Arial"/>
      <family val="2"/>
    </font>
    <font>
      <sz val="10"/>
      <color rgb="FF9A8060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3"/>
      <color rgb="FFF2E8D0"/>
      <name val="Arial"/>
      <family val="2"/>
    </font>
    <font>
      <b/>
      <sz val="9"/>
      <color rgb="FFF2E8D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1608"/>
        <bgColor rgb="FF000000"/>
      </patternFill>
    </fill>
    <fill>
      <patternFill patternType="solid">
        <fgColor rgb="FFA84C28"/>
        <bgColor rgb="FF993366"/>
      </patternFill>
    </fill>
    <fill>
      <patternFill patternType="solid">
        <fgColor rgb="FF9A8060"/>
        <bgColor rgb="FF969696"/>
      </patternFill>
    </fill>
    <fill>
      <patternFill patternType="solid">
        <fgColor rgb="FFFFFFFF"/>
        <bgColor rgb="FFF8F3E8"/>
      </patternFill>
    </fill>
    <fill>
      <patternFill patternType="solid">
        <fgColor rgb="FFF8F3E8"/>
        <bgColor rgb="FFF2E8D0"/>
      </patternFill>
    </fill>
    <fill>
      <patternFill patternType="solid">
        <fgColor rgb="FFE0D4B8"/>
        <bgColor rgb="FFF2E8D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/>
    <xf numFmtId="0" fontId="3" fillId="5" borderId="0" xfId="0" applyFont="1" applyFill="1" applyAlignment="1">
      <alignment horizontal="left" vertical="center"/>
    </xf>
    <xf numFmtId="164" fontId="3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3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left" vertical="center"/>
    </xf>
    <xf numFmtId="165" fontId="3" fillId="5" borderId="0" xfId="0" applyNumberFormat="1" applyFont="1" applyFill="1" applyAlignment="1">
      <alignment horizontal="right"/>
    </xf>
    <xf numFmtId="165" fontId="3" fillId="6" borderId="0" xfId="0" applyNumberFormat="1" applyFont="1" applyFill="1" applyAlignment="1">
      <alignment horizontal="right"/>
    </xf>
    <xf numFmtId="0" fontId="5" fillId="7" borderId="0" xfId="0" applyFont="1" applyFill="1" applyAlignment="1">
      <alignment horizontal="left" vertical="center"/>
    </xf>
    <xf numFmtId="166" fontId="5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left" vertical="center"/>
    </xf>
    <xf numFmtId="167" fontId="5" fillId="7" borderId="0" xfId="0" applyNumberFormat="1" applyFont="1" applyFill="1" applyAlignment="1">
      <alignment horizontal="right"/>
    </xf>
    <xf numFmtId="166" fontId="3" fillId="6" borderId="0" xfId="0" applyNumberFormat="1" applyFont="1" applyFill="1" applyAlignment="1">
      <alignment horizontal="right"/>
    </xf>
    <xf numFmtId="164" fontId="5" fillId="7" borderId="0" xfId="0" applyNumberFormat="1" applyFont="1" applyFill="1" applyAlignment="1">
      <alignment horizontal="right"/>
    </xf>
    <xf numFmtId="164" fontId="6" fillId="6" borderId="0" xfId="0" applyNumberFormat="1" applyFont="1" applyFill="1" applyAlignment="1">
      <alignment horizontal="right"/>
    </xf>
    <xf numFmtId="164" fontId="6" fillId="5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right"/>
    </xf>
    <xf numFmtId="165" fontId="6" fillId="5" borderId="0" xfId="0" applyNumberFormat="1" applyFont="1" applyFill="1" applyAlignment="1">
      <alignment horizontal="right"/>
    </xf>
    <xf numFmtId="166" fontId="6" fillId="6" borderId="0" xfId="0" applyNumberFormat="1" applyFont="1" applyFill="1" applyAlignment="1">
      <alignment horizontal="right"/>
    </xf>
    <xf numFmtId="166" fontId="6" fillId="5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166" fontId="3" fillId="5" borderId="0" xfId="0" applyNumberFormat="1" applyFont="1" applyFill="1" applyAlignment="1">
      <alignment horizontal="right"/>
    </xf>
    <xf numFmtId="0" fontId="0" fillId="6" borderId="0" xfId="0" applyFill="1" applyAlignment="1"/>
    <xf numFmtId="0" fontId="0" fillId="5" borderId="0" xfId="0" applyFill="1" applyAlignment="1"/>
    <xf numFmtId="0" fontId="0" fillId="7" borderId="0" xfId="0" applyFill="1" applyAlignment="1"/>
    <xf numFmtId="0" fontId="2" fillId="4" borderId="0" xfId="0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right"/>
    </xf>
    <xf numFmtId="166" fontId="3" fillId="5" borderId="0" xfId="0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7" fontId="5" fillId="7" borderId="0" xfId="0" applyNumberFormat="1" applyFont="1" applyFill="1" applyAlignment="1">
      <alignment horizontal="right"/>
    </xf>
    <xf numFmtId="9" fontId="0" fillId="0" borderId="0" xfId="0" applyNumberFormat="1"/>
    <xf numFmtId="164" fontId="0" fillId="0" borderId="0" xfId="0" applyNumberFormat="1"/>
    <xf numFmtId="0" fontId="3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A8060"/>
      <rgbColor rgb="FF9999FF"/>
      <rgbColor rgb="FF993366"/>
      <rgbColor rgb="FFF8F3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2E8D0"/>
      <rgbColor rgb="FF99CCFF"/>
      <rgbColor rgb="FFFF99CC"/>
      <rgbColor rgb="FFCC99FF"/>
      <rgbColor rgb="FFE0D4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41608"/>
      <rgbColor rgb="FFA84C28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showGridLines="0" topLeftCell="A16" zoomScaleNormal="100" workbookViewId="0">
      <selection activeCell="B25" sqref="B25"/>
    </sheetView>
  </sheetViews>
  <sheetFormatPr baseColWidth="10" defaultColWidth="8.6640625" defaultRowHeight="15" x14ac:dyDescent="0.2"/>
  <cols>
    <col min="1" max="1" width="36" style="6" customWidth="1"/>
    <col min="2" max="2" width="22" style="6" customWidth="1"/>
    <col min="3" max="3" width="38" style="6" customWidth="1"/>
  </cols>
  <sheetData>
    <row r="1" spans="1:3" ht="31.5" customHeight="1" x14ac:dyDescent="0.2">
      <c r="A1" s="5" t="s">
        <v>0</v>
      </c>
      <c r="B1" s="5"/>
      <c r="C1" s="5"/>
    </row>
    <row r="2" spans="1:3" ht="19.5" customHeight="1" x14ac:dyDescent="0.2">
      <c r="A2" s="4" t="s">
        <v>1</v>
      </c>
      <c r="B2" s="4"/>
      <c r="C2" s="4"/>
    </row>
    <row r="4" spans="1:3" ht="19.5" customHeight="1" x14ac:dyDescent="0.2">
      <c r="A4" s="3" t="s">
        <v>2</v>
      </c>
      <c r="B4" s="3"/>
      <c r="C4" s="3"/>
    </row>
    <row r="5" spans="1:3" ht="15" customHeight="1" x14ac:dyDescent="0.2">
      <c r="A5" s="7" t="s">
        <v>3</v>
      </c>
      <c r="B5" s="8">
        <f>Assumptions!B5</f>
        <v>3495000</v>
      </c>
      <c r="C5" s="9"/>
    </row>
    <row r="6" spans="1:3" ht="15" customHeight="1" x14ac:dyDescent="0.2">
      <c r="A6" s="10" t="s">
        <v>4</v>
      </c>
      <c r="B6" s="11">
        <f>Assumptions!B6</f>
        <v>3125000</v>
      </c>
      <c r="C6" s="12"/>
    </row>
    <row r="7" spans="1:3" ht="15" customHeight="1" x14ac:dyDescent="0.2">
      <c r="A7" s="7" t="s">
        <v>5</v>
      </c>
      <c r="B7" s="13">
        <f>Assumptions!B8</f>
        <v>5500</v>
      </c>
      <c r="C7" s="9" t="s">
        <v>6</v>
      </c>
    </row>
    <row r="8" spans="1:3" ht="15" customHeight="1" x14ac:dyDescent="0.2">
      <c r="A8" s="10" t="s">
        <v>7</v>
      </c>
      <c r="B8" s="14">
        <f>Assumptions!B9</f>
        <v>12</v>
      </c>
      <c r="C8" s="12" t="s">
        <v>8</v>
      </c>
    </row>
    <row r="9" spans="1:3" ht="15" customHeight="1" x14ac:dyDescent="0.2">
      <c r="A9" s="7" t="s">
        <v>9</v>
      </c>
      <c r="B9" s="41">
        <v>1914</v>
      </c>
      <c r="C9" s="9" t="s">
        <v>10</v>
      </c>
    </row>
    <row r="11" spans="1:3" ht="19.5" customHeight="1" x14ac:dyDescent="0.2">
      <c r="A11" s="3" t="s">
        <v>11</v>
      </c>
      <c r="B11" s="3"/>
      <c r="C11" s="3"/>
    </row>
    <row r="12" spans="1:3" ht="15" customHeight="1" x14ac:dyDescent="0.2">
      <c r="A12" s="10" t="s">
        <v>12</v>
      </c>
      <c r="B12" s="11">
        <f>Assumptions!B19</f>
        <v>3737500</v>
      </c>
      <c r="C12" s="12" t="s">
        <v>13</v>
      </c>
    </row>
    <row r="13" spans="1:3" ht="15" customHeight="1" x14ac:dyDescent="0.2">
      <c r="A13" s="7" t="s">
        <v>14</v>
      </c>
      <c r="B13" s="8">
        <f>Assumptions!B22</f>
        <v>200000</v>
      </c>
      <c r="C13" s="9"/>
    </row>
    <row r="14" spans="1:3" ht="15" customHeight="1" x14ac:dyDescent="0.2">
      <c r="A14" s="10" t="s">
        <v>16</v>
      </c>
      <c r="B14" s="11">
        <f>Assumptions!B23</f>
        <v>150000</v>
      </c>
      <c r="C14" s="12" t="s">
        <v>227</v>
      </c>
    </row>
    <row r="15" spans="1:3" ht="15" customHeight="1" x14ac:dyDescent="0.2">
      <c r="A15" s="7" t="s">
        <v>17</v>
      </c>
      <c r="B15" s="8">
        <f>Assumptions!B24</f>
        <v>350000</v>
      </c>
      <c r="C15" s="9"/>
    </row>
    <row r="16" spans="1:3" ht="15" customHeight="1" x14ac:dyDescent="0.2">
      <c r="A16" s="10" t="s">
        <v>18</v>
      </c>
      <c r="B16" s="11">
        <f>Assumptions!B25+Assumptions!B26</f>
        <v>2812500</v>
      </c>
      <c r="C16" s="12" t="s">
        <v>19</v>
      </c>
    </row>
    <row r="17" spans="1:3" ht="15" customHeight="1" x14ac:dyDescent="0.2">
      <c r="A17" s="7" t="s">
        <v>20</v>
      </c>
      <c r="B17" s="8">
        <f>Assumptions!B27</f>
        <v>500000</v>
      </c>
      <c r="C17" s="9" t="s">
        <v>21</v>
      </c>
    </row>
    <row r="18" spans="1:3" ht="15" customHeight="1" x14ac:dyDescent="0.2">
      <c r="A18" s="10" t="s">
        <v>22</v>
      </c>
      <c r="B18" s="11">
        <f>Assumptions!B28</f>
        <v>3312500</v>
      </c>
      <c r="C18" s="12"/>
    </row>
    <row r="19" spans="1:3" ht="15" customHeight="1" x14ac:dyDescent="0.2">
      <c r="A19" s="15" t="s">
        <v>24</v>
      </c>
      <c r="B19" s="16">
        <f>Assumptions!B30</f>
        <v>0.112</v>
      </c>
      <c r="C19" s="17" t="s">
        <v>25</v>
      </c>
    </row>
    <row r="20" spans="1:3" ht="15" customHeight="1" x14ac:dyDescent="0.2">
      <c r="A20" s="10" t="s">
        <v>26</v>
      </c>
      <c r="B20" s="11">
        <f>Assumptions!B43</f>
        <v>27226.767609818038</v>
      </c>
      <c r="C20" s="12" t="s">
        <v>27</v>
      </c>
    </row>
    <row r="21" spans="1:3" ht="15" customHeight="1" x14ac:dyDescent="0.2">
      <c r="A21" s="7" t="s">
        <v>28</v>
      </c>
      <c r="B21" s="8">
        <f>Assumptions!B44</f>
        <v>326721.21131781646</v>
      </c>
      <c r="C21" s="9"/>
    </row>
    <row r="23" spans="1:3" ht="19.5" customHeight="1" x14ac:dyDescent="0.2">
      <c r="A23" s="3" t="s">
        <v>29</v>
      </c>
      <c r="B23" s="3"/>
      <c r="C23" s="3"/>
    </row>
    <row r="24" spans="1:3" ht="15" customHeight="1" x14ac:dyDescent="0.2">
      <c r="A24" s="10" t="s">
        <v>30</v>
      </c>
      <c r="B24" s="11">
        <f>'P&amp;L Projections'!B9</f>
        <v>455000</v>
      </c>
      <c r="C24" s="12" t="s">
        <v>228</v>
      </c>
    </row>
    <row r="25" spans="1:3" ht="15" customHeight="1" x14ac:dyDescent="0.2">
      <c r="A25" s="7" t="s">
        <v>31</v>
      </c>
      <c r="B25" s="8">
        <f>'P&amp;L Projections'!C9</f>
        <v>755000</v>
      </c>
      <c r="C25" s="9" t="s">
        <v>32</v>
      </c>
    </row>
    <row r="26" spans="1:3" ht="15" customHeight="1" x14ac:dyDescent="0.2">
      <c r="A26" s="10" t="s">
        <v>33</v>
      </c>
      <c r="B26" s="11">
        <f>'P&amp;L Projections'!D9</f>
        <v>1020000</v>
      </c>
      <c r="C26" s="12" t="s">
        <v>34</v>
      </c>
    </row>
    <row r="27" spans="1:3" ht="15" customHeight="1" x14ac:dyDescent="0.2">
      <c r="A27" s="7" t="s">
        <v>35</v>
      </c>
      <c r="B27" s="8">
        <f>'P&amp;L Projections'!F9</f>
        <v>1320000</v>
      </c>
      <c r="C27" s="9" t="s">
        <v>36</v>
      </c>
    </row>
    <row r="28" spans="1:3" ht="15" customHeight="1" x14ac:dyDescent="0.2">
      <c r="A28" s="10" t="s">
        <v>37</v>
      </c>
      <c r="B28" s="11">
        <f>'P&amp;L Projections'!D26</f>
        <v>412600</v>
      </c>
      <c r="C28" s="12" t="s">
        <v>38</v>
      </c>
    </row>
    <row r="29" spans="1:3" ht="15" customHeight="1" x14ac:dyDescent="0.2">
      <c r="A29" s="15" t="s">
        <v>39</v>
      </c>
      <c r="B29" s="18">
        <f>'P&amp;L Projections'!D31</f>
        <v>1.2628503620435141</v>
      </c>
      <c r="C29" s="17" t="s">
        <v>40</v>
      </c>
    </row>
    <row r="30" spans="1:3" ht="15" customHeight="1" x14ac:dyDescent="0.2">
      <c r="A30" s="15" t="s">
        <v>41</v>
      </c>
      <c r="B30" s="18">
        <f>'P&amp;L Projections'!D32</f>
        <v>1.4281288873715552</v>
      </c>
      <c r="C30" s="17" t="s">
        <v>42</v>
      </c>
    </row>
    <row r="31" spans="1:3" ht="15" customHeight="1" x14ac:dyDescent="0.2">
      <c r="A31" s="7" t="s">
        <v>43</v>
      </c>
      <c r="B31" s="8">
        <f>Assumptions!B61</f>
        <v>57726.767609818038</v>
      </c>
      <c r="C31" s="9" t="s">
        <v>44</v>
      </c>
    </row>
    <row r="33" spans="1:3" ht="19.5" customHeight="1" x14ac:dyDescent="0.2">
      <c r="A33" s="3" t="s">
        <v>45</v>
      </c>
      <c r="B33" s="3"/>
      <c r="C33" s="3"/>
    </row>
    <row r="34" spans="1:3" ht="15" customHeight="1" x14ac:dyDescent="0.2">
      <c r="A34" s="10" t="s">
        <v>46</v>
      </c>
      <c r="B34" s="11">
        <f>Assumptions!B53</f>
        <v>4500</v>
      </c>
      <c r="C34" s="12" t="s">
        <v>47</v>
      </c>
    </row>
    <row r="35" spans="1:3" ht="15" customHeight="1" x14ac:dyDescent="0.2">
      <c r="A35" s="7" t="s">
        <v>48</v>
      </c>
      <c r="B35" s="8">
        <f>Assumptions!B53*12</f>
        <v>54000</v>
      </c>
      <c r="C35" s="9" t="s">
        <v>49</v>
      </c>
    </row>
    <row r="36" spans="1:3" ht="15" customHeight="1" x14ac:dyDescent="0.2">
      <c r="A36" s="10" t="s">
        <v>50</v>
      </c>
      <c r="B36" s="11">
        <f>Assumptions!B53*12*5</f>
        <v>270000</v>
      </c>
      <c r="C36" s="12" t="s">
        <v>51</v>
      </c>
    </row>
    <row r="38" spans="1:3" ht="19.5" customHeight="1" x14ac:dyDescent="0.2">
      <c r="A38" s="3" t="s">
        <v>52</v>
      </c>
      <c r="B38" s="3"/>
      <c r="C38" s="3"/>
    </row>
    <row r="39" spans="1:3" ht="15" customHeight="1" x14ac:dyDescent="0.2">
      <c r="A39" s="7" t="s">
        <v>16</v>
      </c>
      <c r="B39" s="8">
        <f>Assumptions!B23</f>
        <v>150000</v>
      </c>
      <c r="C39" s="9" t="s">
        <v>53</v>
      </c>
    </row>
    <row r="40" spans="1:3" ht="15" customHeight="1" x14ac:dyDescent="0.2">
      <c r="A40" s="10" t="s">
        <v>54</v>
      </c>
      <c r="B40" s="19">
        <f>'Capital Stack'!B27</f>
        <v>0.05</v>
      </c>
      <c r="C40" s="12" t="s">
        <v>55</v>
      </c>
    </row>
    <row r="41" spans="1:3" ht="15" customHeight="1" x14ac:dyDescent="0.2">
      <c r="A41" s="7" t="s">
        <v>56</v>
      </c>
      <c r="B41" s="8">
        <f>'Capital Stack'!B28</f>
        <v>25000</v>
      </c>
      <c r="C41" s="9" t="s">
        <v>57</v>
      </c>
    </row>
    <row r="42" spans="1:3" ht="15" customHeight="1" x14ac:dyDescent="0.2">
      <c r="A42" s="10" t="s">
        <v>58</v>
      </c>
      <c r="B42" s="11">
        <f>'Capital Stack'!B29</f>
        <v>125000</v>
      </c>
      <c r="C42" s="12"/>
    </row>
    <row r="43" spans="1:3" ht="15" customHeight="1" x14ac:dyDescent="0.2">
      <c r="A43" s="7" t="s">
        <v>59</v>
      </c>
      <c r="B43" s="8">
        <f>'Capital Stack'!B32</f>
        <v>677040.32000000123</v>
      </c>
      <c r="C43" s="9" t="s">
        <v>60</v>
      </c>
    </row>
    <row r="44" spans="1:3" ht="15" customHeight="1" x14ac:dyDescent="0.2">
      <c r="A44" s="10" t="s">
        <v>61</v>
      </c>
      <c r="B44" s="11">
        <f>'Capital Stack'!B34</f>
        <v>33852.016000000061</v>
      </c>
      <c r="C44" s="12" t="s">
        <v>62</v>
      </c>
    </row>
    <row r="45" spans="1:3" ht="15" customHeight="1" x14ac:dyDescent="0.2">
      <c r="A45" s="15" t="s">
        <v>63</v>
      </c>
      <c r="B45" s="20">
        <f>'Capital Stack'!B35</f>
        <v>158852.01600000006</v>
      </c>
      <c r="C45" s="17"/>
    </row>
    <row r="46" spans="1:3" ht="15" customHeight="1" x14ac:dyDescent="0.2">
      <c r="A46" s="15" t="s">
        <v>64</v>
      </c>
      <c r="B46" s="18">
        <f>'Capital Stack'!B36</f>
        <v>1.3177040320000002</v>
      </c>
      <c r="C46" s="17" t="s">
        <v>65</v>
      </c>
    </row>
  </sheetData>
  <mergeCells count="7">
    <mergeCell ref="A33:C33"/>
    <mergeCell ref="A38:C38"/>
    <mergeCell ref="A1:C1"/>
    <mergeCell ref="A2:C2"/>
    <mergeCell ref="A4:C4"/>
    <mergeCell ref="A11:C11"/>
    <mergeCell ref="A23:C2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topLeftCell="A15" zoomScaleNormal="100" workbookViewId="0">
      <selection activeCell="J23" sqref="J23"/>
    </sheetView>
  </sheetViews>
  <sheetFormatPr baseColWidth="10" defaultColWidth="8.6640625" defaultRowHeight="15" x14ac:dyDescent="0.2"/>
  <cols>
    <col min="1" max="1" width="38" style="6" customWidth="1"/>
    <col min="2" max="2" width="18" style="6" customWidth="1"/>
    <col min="3" max="3" width="42" style="6" customWidth="1"/>
  </cols>
  <sheetData>
    <row r="1" spans="1:10" ht="30" customHeight="1" x14ac:dyDescent="0.2">
      <c r="A1" s="5" t="s">
        <v>0</v>
      </c>
      <c r="B1" s="5"/>
      <c r="C1" s="5"/>
    </row>
    <row r="2" spans="1:10" ht="19.5" customHeight="1" x14ac:dyDescent="0.2">
      <c r="A2" s="4" t="s">
        <v>66</v>
      </c>
      <c r="B2" s="4"/>
      <c r="C2" s="4"/>
    </row>
    <row r="4" spans="1:10" ht="19.5" customHeight="1" x14ac:dyDescent="0.2">
      <c r="A4" s="3" t="s">
        <v>67</v>
      </c>
      <c r="B4" s="3"/>
      <c r="C4" s="3"/>
    </row>
    <row r="5" spans="1:10" ht="15" customHeight="1" x14ac:dyDescent="0.2">
      <c r="A5" s="10" t="s">
        <v>3</v>
      </c>
      <c r="B5" s="21">
        <v>3495000</v>
      </c>
      <c r="C5" s="12" t="s">
        <v>68</v>
      </c>
    </row>
    <row r="6" spans="1:10" ht="15" customHeight="1" x14ac:dyDescent="0.2">
      <c r="A6" s="7" t="s">
        <v>4</v>
      </c>
      <c r="B6" s="22">
        <v>3125000</v>
      </c>
      <c r="C6" s="9" t="s">
        <v>69</v>
      </c>
    </row>
    <row r="7" spans="1:10" ht="15" customHeight="1" x14ac:dyDescent="0.2">
      <c r="A7" s="10" t="s">
        <v>5</v>
      </c>
      <c r="B7" s="23">
        <v>14289</v>
      </c>
      <c r="C7" s="12" t="s">
        <v>70</v>
      </c>
    </row>
    <row r="8" spans="1:10" ht="15" customHeight="1" x14ac:dyDescent="0.2">
      <c r="A8" s="7" t="s">
        <v>71</v>
      </c>
      <c r="B8" s="24">
        <v>5500</v>
      </c>
      <c r="C8" s="9" t="s">
        <v>72</v>
      </c>
    </row>
    <row r="9" spans="1:10" ht="15" customHeight="1" x14ac:dyDescent="0.2">
      <c r="A9" s="10" t="s">
        <v>7</v>
      </c>
      <c r="B9" s="23">
        <v>12</v>
      </c>
      <c r="C9" s="12" t="s">
        <v>8</v>
      </c>
    </row>
    <row r="10" spans="1:10" x14ac:dyDescent="0.2">
      <c r="J10" s="39"/>
    </row>
    <row r="11" spans="1:10" ht="19.5" customHeight="1" x14ac:dyDescent="0.2">
      <c r="A11" s="3" t="s">
        <v>73</v>
      </c>
      <c r="B11" s="3"/>
      <c r="C11" s="3"/>
      <c r="I11" s="40"/>
    </row>
    <row r="12" spans="1:10" ht="15" customHeight="1" x14ac:dyDescent="0.2">
      <c r="A12" s="10" t="s">
        <v>74</v>
      </c>
      <c r="B12" s="11">
        <f>B6</f>
        <v>3125000</v>
      </c>
      <c r="C12" s="12" t="s">
        <v>75</v>
      </c>
    </row>
    <row r="13" spans="1:10" ht="15" customHeight="1" x14ac:dyDescent="0.2">
      <c r="A13" s="7" t="s">
        <v>76</v>
      </c>
      <c r="B13" s="8">
        <f>B6*0.02</f>
        <v>62500</v>
      </c>
      <c r="C13" s="9" t="s">
        <v>77</v>
      </c>
    </row>
    <row r="14" spans="1:10" ht="15" customHeight="1" x14ac:dyDescent="0.2">
      <c r="A14" s="10" t="s">
        <v>78</v>
      </c>
      <c r="B14" s="21">
        <v>250000</v>
      </c>
      <c r="C14" s="12" t="s">
        <v>79</v>
      </c>
    </row>
    <row r="15" spans="1:10" ht="15" customHeight="1" x14ac:dyDescent="0.2">
      <c r="A15" s="7" t="s">
        <v>224</v>
      </c>
      <c r="B15" s="22">
        <v>150000</v>
      </c>
      <c r="C15" s="9"/>
    </row>
    <row r="16" spans="1:10" ht="15" customHeight="1" x14ac:dyDescent="0.2">
      <c r="A16" s="10" t="s">
        <v>81</v>
      </c>
      <c r="B16" s="21">
        <v>30000</v>
      </c>
      <c r="C16" s="12" t="s">
        <v>82</v>
      </c>
    </row>
    <row r="17" spans="1:3" ht="15" customHeight="1" x14ac:dyDescent="0.2">
      <c r="A17" s="7" t="s">
        <v>83</v>
      </c>
      <c r="B17" s="22">
        <v>100000</v>
      </c>
      <c r="C17" s="9" t="s">
        <v>84</v>
      </c>
    </row>
    <row r="18" spans="1:3" ht="15" customHeight="1" x14ac:dyDescent="0.2">
      <c r="A18" s="10" t="s">
        <v>225</v>
      </c>
      <c r="B18" s="21">
        <v>20000</v>
      </c>
      <c r="C18" s="12" t="s">
        <v>86</v>
      </c>
    </row>
    <row r="19" spans="1:3" ht="15" customHeight="1" x14ac:dyDescent="0.2">
      <c r="A19" s="15" t="s">
        <v>87</v>
      </c>
      <c r="B19" s="20">
        <f>B12+B13+B14+B15+B16+B17+B18</f>
        <v>3737500</v>
      </c>
      <c r="C19" s="17"/>
    </row>
    <row r="21" spans="1:3" ht="19.5" customHeight="1" x14ac:dyDescent="0.2">
      <c r="A21" s="3" t="s">
        <v>88</v>
      </c>
      <c r="B21" s="3"/>
      <c r="C21" s="3"/>
    </row>
    <row r="22" spans="1:3" ht="15" customHeight="1" x14ac:dyDescent="0.2">
      <c r="A22" s="10" t="s">
        <v>14</v>
      </c>
      <c r="B22" s="21">
        <v>200000</v>
      </c>
      <c r="C22" s="12" t="s">
        <v>15</v>
      </c>
    </row>
    <row r="23" spans="1:3" ht="15" customHeight="1" x14ac:dyDescent="0.2">
      <c r="A23" s="7" t="s">
        <v>89</v>
      </c>
      <c r="B23" s="22">
        <v>150000</v>
      </c>
      <c r="C23" s="9" t="s">
        <v>90</v>
      </c>
    </row>
    <row r="24" spans="1:3" ht="15" customHeight="1" x14ac:dyDescent="0.2">
      <c r="A24" s="15" t="s">
        <v>17</v>
      </c>
      <c r="B24" s="20">
        <f>B22+B23</f>
        <v>350000</v>
      </c>
      <c r="C24" s="17"/>
    </row>
    <row r="25" spans="1:3" ht="15" customHeight="1" x14ac:dyDescent="0.2">
      <c r="A25" s="7" t="s">
        <v>91</v>
      </c>
      <c r="B25" s="8">
        <f>B6*0.5</f>
        <v>1562500</v>
      </c>
      <c r="C25" s="9" t="s">
        <v>92</v>
      </c>
    </row>
    <row r="26" spans="1:3" ht="15" customHeight="1" x14ac:dyDescent="0.2">
      <c r="A26" s="10" t="s">
        <v>93</v>
      </c>
      <c r="B26" s="11">
        <f>B6*0.4</f>
        <v>1250000</v>
      </c>
      <c r="C26" s="12" t="s">
        <v>94</v>
      </c>
    </row>
    <row r="27" spans="1:3" ht="15" customHeight="1" x14ac:dyDescent="0.2">
      <c r="A27" s="7" t="s">
        <v>95</v>
      </c>
      <c r="B27" s="22">
        <v>500000</v>
      </c>
      <c r="C27" s="9" t="s">
        <v>96</v>
      </c>
    </row>
    <row r="28" spans="1:3" ht="15" customHeight="1" x14ac:dyDescent="0.2">
      <c r="A28" s="15" t="s">
        <v>22</v>
      </c>
      <c r="B28" s="20">
        <f>B25+B26+B27</f>
        <v>3312500</v>
      </c>
      <c r="C28" s="17"/>
    </row>
    <row r="29" spans="1:3" ht="15" customHeight="1" x14ac:dyDescent="0.2">
      <c r="A29" s="15" t="s">
        <v>97</v>
      </c>
      <c r="B29" s="20">
        <f>B24+B28</f>
        <v>3662500</v>
      </c>
      <c r="C29" s="17" t="s">
        <v>98</v>
      </c>
    </row>
    <row r="30" spans="1:3" ht="15" customHeight="1" x14ac:dyDescent="0.2">
      <c r="A30" s="15" t="s">
        <v>24</v>
      </c>
      <c r="B30" s="16">
        <f>B24/B6</f>
        <v>0.112</v>
      </c>
      <c r="C30" s="17" t="s">
        <v>99</v>
      </c>
    </row>
    <row r="31" spans="1:3" ht="15" customHeight="1" x14ac:dyDescent="0.2">
      <c r="A31" s="15" t="s">
        <v>100</v>
      </c>
      <c r="B31" s="16">
        <f>B24/B19</f>
        <v>9.3645484949832769E-2</v>
      </c>
      <c r="C31" s="17" t="s">
        <v>101</v>
      </c>
    </row>
    <row r="33" spans="1:3" ht="19.5" customHeight="1" x14ac:dyDescent="0.2">
      <c r="A33" s="3" t="s">
        <v>102</v>
      </c>
      <c r="B33" s="3"/>
      <c r="C33" s="3"/>
    </row>
    <row r="34" spans="1:3" ht="15" customHeight="1" x14ac:dyDescent="0.2">
      <c r="A34" s="10" t="s">
        <v>103</v>
      </c>
      <c r="B34" s="25">
        <v>7.4999999999999997E-2</v>
      </c>
      <c r="C34" s="12" t="s">
        <v>104</v>
      </c>
    </row>
    <row r="35" spans="1:3" ht="15" customHeight="1" x14ac:dyDescent="0.2">
      <c r="A35" s="7" t="s">
        <v>105</v>
      </c>
      <c r="B35" s="24">
        <v>240</v>
      </c>
      <c r="C35" s="9" t="s">
        <v>106</v>
      </c>
    </row>
    <row r="36" spans="1:3" ht="15" customHeight="1" x14ac:dyDescent="0.2">
      <c r="A36" s="10" t="s">
        <v>107</v>
      </c>
      <c r="B36" s="11">
        <f>IFERROR(-PMT(B34/12,B35,B25),0)</f>
        <v>12587.393649246987</v>
      </c>
      <c r="C36" s="12"/>
    </row>
    <row r="37" spans="1:3" ht="15" customHeight="1" x14ac:dyDescent="0.2">
      <c r="A37" s="7" t="s">
        <v>108</v>
      </c>
      <c r="B37" s="26">
        <v>6.5000000000000002E-2</v>
      </c>
      <c r="C37" s="9" t="s">
        <v>109</v>
      </c>
    </row>
    <row r="38" spans="1:3" ht="15" customHeight="1" x14ac:dyDescent="0.2">
      <c r="A38" s="10" t="s">
        <v>110</v>
      </c>
      <c r="B38" s="23">
        <v>300</v>
      </c>
      <c r="C38" s="12" t="s">
        <v>111</v>
      </c>
    </row>
    <row r="39" spans="1:3" ht="15" customHeight="1" x14ac:dyDescent="0.2">
      <c r="A39" s="7" t="s">
        <v>112</v>
      </c>
      <c r="B39" s="8">
        <f>IFERROR(-PMT(B37/12,B38,B26),0)</f>
        <v>8440.0895168454954</v>
      </c>
      <c r="C39" s="9"/>
    </row>
    <row r="40" spans="1:3" ht="15" customHeight="1" x14ac:dyDescent="0.2">
      <c r="A40" s="10" t="s">
        <v>113</v>
      </c>
      <c r="B40" s="25">
        <v>8.5000000000000006E-2</v>
      </c>
      <c r="C40" s="12" t="s">
        <v>114</v>
      </c>
    </row>
    <row r="41" spans="1:3" ht="15" customHeight="1" x14ac:dyDescent="0.2">
      <c r="A41" s="7" t="s">
        <v>115</v>
      </c>
      <c r="B41" s="24">
        <v>120</v>
      </c>
      <c r="C41" s="9" t="s">
        <v>116</v>
      </c>
    </row>
    <row r="42" spans="1:3" ht="15" customHeight="1" x14ac:dyDescent="0.2">
      <c r="A42" s="10" t="s">
        <v>117</v>
      </c>
      <c r="B42" s="11">
        <f>IFERROR(-PMT(B40/12,B41,B27),0)</f>
        <v>6199.2844437255562</v>
      </c>
      <c r="C42" s="12"/>
    </row>
    <row r="43" spans="1:3" ht="15" customHeight="1" x14ac:dyDescent="0.2">
      <c r="A43" s="15" t="s">
        <v>118</v>
      </c>
      <c r="B43" s="20">
        <f>B36+B39+B42</f>
        <v>27226.767609818038</v>
      </c>
      <c r="C43" s="17"/>
    </row>
    <row r="44" spans="1:3" ht="15" customHeight="1" x14ac:dyDescent="0.2">
      <c r="A44" s="15" t="s">
        <v>119</v>
      </c>
      <c r="B44" s="20">
        <f>B43*12</f>
        <v>326721.21131781646</v>
      </c>
      <c r="C44" s="17"/>
    </row>
    <row r="46" spans="1:3" ht="19.5" customHeight="1" x14ac:dyDescent="0.2">
      <c r="A46" s="3" t="s">
        <v>120</v>
      </c>
      <c r="B46" s="3"/>
      <c r="C46" s="3"/>
    </row>
    <row r="47" spans="1:3" ht="15" customHeight="1" x14ac:dyDescent="0.2">
      <c r="A47" s="10" t="s">
        <v>121</v>
      </c>
      <c r="B47" s="25">
        <v>0.55000000000000004</v>
      </c>
      <c r="C47" s="12" t="s">
        <v>122</v>
      </c>
    </row>
    <row r="48" spans="1:3" ht="15" customHeight="1" x14ac:dyDescent="0.2">
      <c r="A48" s="7" t="s">
        <v>123</v>
      </c>
      <c r="B48" s="26">
        <v>0.66</v>
      </c>
      <c r="C48" s="9" t="s">
        <v>124</v>
      </c>
    </row>
    <row r="49" spans="1:3" ht="15" customHeight="1" x14ac:dyDescent="0.2">
      <c r="A49" s="10" t="s">
        <v>125</v>
      </c>
      <c r="B49" s="25">
        <v>0.82</v>
      </c>
      <c r="C49" s="12" t="s">
        <v>126</v>
      </c>
    </row>
    <row r="50" spans="1:3" ht="15" customHeight="1" x14ac:dyDescent="0.2">
      <c r="A50" s="7" t="s">
        <v>127</v>
      </c>
      <c r="B50" s="26">
        <v>0.6</v>
      </c>
      <c r="C50" s="9" t="s">
        <v>128</v>
      </c>
    </row>
    <row r="51" spans="1:3" ht="15" customHeight="1" x14ac:dyDescent="0.2">
      <c r="A51" s="10" t="s">
        <v>129</v>
      </c>
      <c r="B51" s="21">
        <v>35000</v>
      </c>
      <c r="C51" s="12" t="s">
        <v>130</v>
      </c>
    </row>
    <row r="52" spans="1:3" ht="15" customHeight="1" x14ac:dyDescent="0.2">
      <c r="A52" s="7" t="s">
        <v>131</v>
      </c>
      <c r="B52" s="26">
        <v>0.03</v>
      </c>
      <c r="C52" s="9" t="s">
        <v>132</v>
      </c>
    </row>
    <row r="53" spans="1:3" ht="15" customHeight="1" x14ac:dyDescent="0.2">
      <c r="A53" s="10" t="s">
        <v>133</v>
      </c>
      <c r="B53" s="21">
        <v>4500</v>
      </c>
      <c r="C53" s="12" t="s">
        <v>229</v>
      </c>
    </row>
    <row r="55" spans="1:3" ht="19.5" customHeight="1" x14ac:dyDescent="0.2">
      <c r="A55" s="3" t="s">
        <v>134</v>
      </c>
      <c r="B55" s="3"/>
      <c r="C55" s="3"/>
    </row>
    <row r="56" spans="1:3" ht="15" customHeight="1" x14ac:dyDescent="0.2">
      <c r="A56" s="10" t="s">
        <v>135</v>
      </c>
      <c r="B56" s="11">
        <f>B51</f>
        <v>35000</v>
      </c>
      <c r="C56" s="12" t="s">
        <v>136</v>
      </c>
    </row>
    <row r="57" spans="1:3" ht="15" customHeight="1" x14ac:dyDescent="0.2">
      <c r="A57" s="7" t="s">
        <v>26</v>
      </c>
      <c r="B57" s="8">
        <f>B43</f>
        <v>27226.767609818038</v>
      </c>
      <c r="C57" s="9" t="s">
        <v>23</v>
      </c>
    </row>
    <row r="58" spans="1:3" ht="15" customHeight="1" x14ac:dyDescent="0.2">
      <c r="A58" s="15" t="s">
        <v>137</v>
      </c>
      <c r="B58" s="20">
        <f>B56+B57</f>
        <v>62226.767609818038</v>
      </c>
      <c r="C58" s="17"/>
    </row>
    <row r="59" spans="1:3" ht="15" customHeight="1" x14ac:dyDescent="0.2">
      <c r="A59" s="7" t="s">
        <v>138</v>
      </c>
      <c r="B59" s="8">
        <f>B58/0.55</f>
        <v>113139.57747239643</v>
      </c>
      <c r="C59" s="9" t="s">
        <v>139</v>
      </c>
    </row>
    <row r="60" spans="1:3" ht="15" customHeight="1" x14ac:dyDescent="0.2">
      <c r="A60" s="10" t="s">
        <v>140</v>
      </c>
      <c r="B60" s="11">
        <f>B53</f>
        <v>4500</v>
      </c>
      <c r="C60" s="12" t="s">
        <v>141</v>
      </c>
    </row>
    <row r="61" spans="1:3" ht="15" customHeight="1" x14ac:dyDescent="0.2">
      <c r="A61" s="15" t="s">
        <v>142</v>
      </c>
      <c r="B61" s="20">
        <f>B58-B60</f>
        <v>57726.767609818038</v>
      </c>
      <c r="C61" s="17" t="s">
        <v>143</v>
      </c>
    </row>
  </sheetData>
  <mergeCells count="8">
    <mergeCell ref="A33:C33"/>
    <mergeCell ref="A46:C46"/>
    <mergeCell ref="A55:C55"/>
    <mergeCell ref="A1:C1"/>
    <mergeCell ref="A2:C2"/>
    <mergeCell ref="A4:C4"/>
    <mergeCell ref="A11:C11"/>
    <mergeCell ref="A21:C2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showGridLines="0" topLeftCell="A2" zoomScaleNormal="100" workbookViewId="0">
      <selection activeCell="B37" sqref="B37"/>
    </sheetView>
  </sheetViews>
  <sheetFormatPr baseColWidth="10" defaultColWidth="8.6640625" defaultRowHeight="15" x14ac:dyDescent="0.2"/>
  <cols>
    <col min="1" max="1" width="36" style="6" customWidth="1"/>
    <col min="2" max="2" width="18" style="6" customWidth="1"/>
    <col min="3" max="3" width="16" style="6" customWidth="1"/>
    <col min="4" max="4" width="38" style="6" customWidth="1"/>
  </cols>
  <sheetData>
    <row r="1" spans="1:4" ht="27.75" customHeight="1" x14ac:dyDescent="0.2">
      <c r="A1" s="2" t="s">
        <v>144</v>
      </c>
      <c r="B1" s="2"/>
      <c r="C1" s="2"/>
      <c r="D1" s="2"/>
    </row>
    <row r="3" spans="1:4" ht="19.5" customHeight="1" x14ac:dyDescent="0.2">
      <c r="A3" s="4" t="s">
        <v>145</v>
      </c>
      <c r="B3" s="4"/>
      <c r="C3" s="4"/>
      <c r="D3" s="4"/>
    </row>
    <row r="4" spans="1:4" ht="19.5" customHeight="1" x14ac:dyDescent="0.2">
      <c r="A4" s="27" t="s">
        <v>146</v>
      </c>
      <c r="B4" s="28" t="s">
        <v>147</v>
      </c>
      <c r="C4" s="28" t="s">
        <v>148</v>
      </c>
      <c r="D4" s="28" t="s">
        <v>149</v>
      </c>
    </row>
    <row r="5" spans="1:4" ht="15" customHeight="1" x14ac:dyDescent="0.2">
      <c r="A5" s="10" t="s">
        <v>150</v>
      </c>
      <c r="B5" s="11">
        <f>Assumptions!B22</f>
        <v>200000</v>
      </c>
      <c r="C5" s="19">
        <f>IFERROR(B5/B10,0)</f>
        <v>5.4607508532423209E-2</v>
      </c>
      <c r="D5" s="12" t="s">
        <v>151</v>
      </c>
    </row>
    <row r="6" spans="1:4" ht="15" customHeight="1" x14ac:dyDescent="0.2">
      <c r="A6" s="7" t="s">
        <v>89</v>
      </c>
      <c r="B6" s="8">
        <f>Assumptions!B23</f>
        <v>150000</v>
      </c>
      <c r="C6" s="29">
        <f>IFERROR(B6/B10,0)</f>
        <v>4.0955631399317405E-2</v>
      </c>
      <c r="D6" s="9" t="s">
        <v>152</v>
      </c>
    </row>
    <row r="7" spans="1:4" ht="15" customHeight="1" x14ac:dyDescent="0.2">
      <c r="A7" s="10" t="s">
        <v>153</v>
      </c>
      <c r="B7" s="11">
        <f>Assumptions!B25</f>
        <v>1562500</v>
      </c>
      <c r="C7" s="19">
        <f>IFERROR(B7/B10,0)</f>
        <v>0.42662116040955633</v>
      </c>
      <c r="D7" s="12" t="s">
        <v>154</v>
      </c>
    </row>
    <row r="8" spans="1:4" ht="15" customHeight="1" x14ac:dyDescent="0.2">
      <c r="A8" s="7" t="s">
        <v>155</v>
      </c>
      <c r="B8" s="8">
        <f>Assumptions!B26</f>
        <v>1250000</v>
      </c>
      <c r="C8" s="29">
        <f>IFERROR(B8/B10,0)</f>
        <v>0.34129692832764508</v>
      </c>
      <c r="D8" s="9" t="s">
        <v>156</v>
      </c>
    </row>
    <row r="9" spans="1:4" ht="15" customHeight="1" x14ac:dyDescent="0.2">
      <c r="A9" s="10" t="s">
        <v>95</v>
      </c>
      <c r="B9" s="11">
        <f>Assumptions!B27</f>
        <v>500000</v>
      </c>
      <c r="C9" s="19">
        <f>IFERROR(B9/B10,0)</f>
        <v>0.13651877133105803</v>
      </c>
      <c r="D9" s="12" t="s">
        <v>157</v>
      </c>
    </row>
    <row r="10" spans="1:4" ht="15" customHeight="1" x14ac:dyDescent="0.2">
      <c r="A10" s="15" t="s">
        <v>158</v>
      </c>
      <c r="B10" s="20">
        <f>SUM(B5:B9)</f>
        <v>3662500</v>
      </c>
      <c r="C10" s="16">
        <f>SUM(C5:C9)</f>
        <v>1</v>
      </c>
      <c r="D10" s="17"/>
    </row>
    <row r="12" spans="1:4" ht="19.5" customHeight="1" x14ac:dyDescent="0.2">
      <c r="A12" s="4" t="s">
        <v>159</v>
      </c>
      <c r="B12" s="4"/>
      <c r="C12" s="4"/>
      <c r="D12" s="4"/>
    </row>
    <row r="13" spans="1:4" ht="19.5" customHeight="1" x14ac:dyDescent="0.2">
      <c r="A13" s="27" t="s">
        <v>160</v>
      </c>
      <c r="B13" s="28" t="s">
        <v>161</v>
      </c>
      <c r="C13" s="28"/>
      <c r="D13" s="28" t="s">
        <v>149</v>
      </c>
    </row>
    <row r="14" spans="1:4" ht="15" customHeight="1" x14ac:dyDescent="0.2">
      <c r="A14" s="10" t="s">
        <v>162</v>
      </c>
      <c r="B14" s="11">
        <f>Assumptions!B12</f>
        <v>3125000</v>
      </c>
      <c r="C14" s="30"/>
      <c r="D14" s="12" t="s">
        <v>163</v>
      </c>
    </row>
    <row r="15" spans="1:4" ht="15" customHeight="1" x14ac:dyDescent="0.2">
      <c r="A15" s="7" t="s">
        <v>164</v>
      </c>
      <c r="B15" s="8">
        <f>Assumptions!B13</f>
        <v>62500</v>
      </c>
      <c r="C15" s="31"/>
      <c r="D15" s="9" t="s">
        <v>165</v>
      </c>
    </row>
    <row r="16" spans="1:4" ht="15" customHeight="1" x14ac:dyDescent="0.2">
      <c r="A16" s="10" t="s">
        <v>78</v>
      </c>
      <c r="B16" s="11">
        <f>Assumptions!B14</f>
        <v>250000</v>
      </c>
      <c r="C16" s="30"/>
      <c r="D16" s="12" t="s">
        <v>166</v>
      </c>
    </row>
    <row r="17" spans="1:4" ht="15" customHeight="1" x14ac:dyDescent="0.2">
      <c r="A17" s="7" t="s">
        <v>80</v>
      </c>
      <c r="B17" s="8">
        <f>Assumptions!B15</f>
        <v>150000</v>
      </c>
      <c r="C17" s="31"/>
      <c r="D17" s="9" t="s">
        <v>167</v>
      </c>
    </row>
    <row r="18" spans="1:4" ht="15" customHeight="1" x14ac:dyDescent="0.2">
      <c r="A18" s="10" t="s">
        <v>168</v>
      </c>
      <c r="B18" s="11">
        <f>Assumptions!B16</f>
        <v>30000</v>
      </c>
      <c r="C18" s="30"/>
      <c r="D18" s="12" t="s">
        <v>169</v>
      </c>
    </row>
    <row r="19" spans="1:4" ht="15" customHeight="1" x14ac:dyDescent="0.2">
      <c r="A19" s="7" t="s">
        <v>83</v>
      </c>
      <c r="B19" s="8">
        <f>Assumptions!B17</f>
        <v>100000</v>
      </c>
      <c r="C19" s="31"/>
      <c r="D19" s="9" t="s">
        <v>170</v>
      </c>
    </row>
    <row r="20" spans="1:4" ht="15" customHeight="1" x14ac:dyDescent="0.2">
      <c r="A20" s="10" t="s">
        <v>85</v>
      </c>
      <c r="B20" s="11">
        <f>Assumptions!B18</f>
        <v>20000</v>
      </c>
      <c r="C20" s="30"/>
      <c r="D20" s="12" t="s">
        <v>171</v>
      </c>
    </row>
    <row r="21" spans="1:4" ht="15" customHeight="1" x14ac:dyDescent="0.2">
      <c r="A21" s="15" t="s">
        <v>172</v>
      </c>
      <c r="B21" s="20">
        <f>Assumptions!B19</f>
        <v>3737500</v>
      </c>
      <c r="C21" s="32"/>
      <c r="D21" s="17"/>
    </row>
    <row r="24" spans="1:4" ht="19.5" customHeight="1" x14ac:dyDescent="0.2">
      <c r="A24" s="4" t="s">
        <v>52</v>
      </c>
      <c r="B24" s="4"/>
      <c r="C24" s="4"/>
      <c r="D24" s="4"/>
    </row>
    <row r="25" spans="1:4" ht="19.5" customHeight="1" x14ac:dyDescent="0.2">
      <c r="A25" s="27" t="s">
        <v>173</v>
      </c>
      <c r="B25" s="28" t="s">
        <v>174</v>
      </c>
      <c r="C25" s="28"/>
      <c r="D25" s="28" t="s">
        <v>149</v>
      </c>
    </row>
    <row r="26" spans="1:4" ht="15" customHeight="1" x14ac:dyDescent="0.2">
      <c r="A26" s="10" t="s">
        <v>175</v>
      </c>
      <c r="B26" s="11">
        <v>500000</v>
      </c>
      <c r="C26" s="30"/>
      <c r="D26" s="12" t="s">
        <v>176</v>
      </c>
    </row>
    <row r="27" spans="1:4" ht="15" customHeight="1" x14ac:dyDescent="0.2">
      <c r="A27" s="7" t="s">
        <v>54</v>
      </c>
      <c r="B27" s="26">
        <v>0.05</v>
      </c>
      <c r="C27" s="31"/>
      <c r="D27" s="9" t="s">
        <v>177</v>
      </c>
    </row>
    <row r="28" spans="1:4" ht="15" customHeight="1" x14ac:dyDescent="0.2">
      <c r="A28" s="10" t="s">
        <v>178</v>
      </c>
      <c r="B28" s="11">
        <f>B26*B27</f>
        <v>25000</v>
      </c>
      <c r="C28" s="30"/>
      <c r="D28" s="12" t="s">
        <v>179</v>
      </c>
    </row>
    <row r="29" spans="1:4" ht="15" customHeight="1" x14ac:dyDescent="0.2">
      <c r="A29" s="7" t="s">
        <v>180</v>
      </c>
      <c r="B29" s="8">
        <f>B28*5</f>
        <v>125000</v>
      </c>
      <c r="C29" s="31"/>
      <c r="D29" s="9" t="s">
        <v>181</v>
      </c>
    </row>
    <row r="30" spans="1:4" ht="15" customHeight="1" x14ac:dyDescent="0.2">
      <c r="A30" s="10" t="s">
        <v>182</v>
      </c>
      <c r="B30" s="11">
        <f>Assumptions!B6</f>
        <v>3125000</v>
      </c>
      <c r="C30" s="30"/>
      <c r="D30" s="12"/>
    </row>
    <row r="31" spans="1:4" ht="15" customHeight="1" x14ac:dyDescent="0.2">
      <c r="A31" s="7" t="s">
        <v>183</v>
      </c>
      <c r="B31" s="8">
        <f>Assumptions!B6*1.04^5</f>
        <v>3802040.3200000012</v>
      </c>
      <c r="C31" s="31"/>
      <c r="D31" s="9" t="s">
        <v>184</v>
      </c>
    </row>
    <row r="32" spans="1:4" ht="15" customHeight="1" x14ac:dyDescent="0.2">
      <c r="A32" s="10" t="s">
        <v>185</v>
      </c>
      <c r="B32" s="11">
        <f>B31-B30</f>
        <v>677040.32000000123</v>
      </c>
      <c r="C32" s="30"/>
      <c r="D32" s="12"/>
    </row>
    <row r="33" spans="1:4" ht="15" customHeight="1" x14ac:dyDescent="0.2">
      <c r="A33" s="7" t="s">
        <v>186</v>
      </c>
      <c r="B33" s="29">
        <v>0.05</v>
      </c>
      <c r="C33" s="31"/>
      <c r="D33" s="9" t="s">
        <v>187</v>
      </c>
    </row>
    <row r="34" spans="1:4" ht="15" customHeight="1" x14ac:dyDescent="0.2">
      <c r="A34" s="10" t="s">
        <v>61</v>
      </c>
      <c r="B34" s="11">
        <f>B32*B33</f>
        <v>33852.016000000061</v>
      </c>
      <c r="C34" s="30"/>
      <c r="D34" s="12"/>
    </row>
    <row r="35" spans="1:4" ht="15" customHeight="1" x14ac:dyDescent="0.2">
      <c r="A35" s="15" t="s">
        <v>188</v>
      </c>
      <c r="B35" s="20">
        <f>B29+B34</f>
        <v>158852.01600000006</v>
      </c>
      <c r="C35" s="32"/>
      <c r="D35" s="17" t="s">
        <v>189</v>
      </c>
    </row>
    <row r="36" spans="1:4" ht="15" customHeight="1" x14ac:dyDescent="0.2">
      <c r="A36" s="15" t="s">
        <v>64</v>
      </c>
      <c r="B36" s="18">
        <f>IFERROR((B26+B35)/B26,0)</f>
        <v>1.3177040320000002</v>
      </c>
      <c r="C36" s="32"/>
      <c r="D36" s="17" t="s">
        <v>65</v>
      </c>
    </row>
  </sheetData>
  <mergeCells count="4">
    <mergeCell ref="A1:D1"/>
    <mergeCell ref="A3:D3"/>
    <mergeCell ref="A12:D12"/>
    <mergeCell ref="A24:D2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showGridLines="0" tabSelected="1" zoomScaleNormal="100" workbookViewId="0">
      <selection activeCell="B6" sqref="B6"/>
    </sheetView>
  </sheetViews>
  <sheetFormatPr baseColWidth="10" defaultColWidth="8.6640625" defaultRowHeight="15" x14ac:dyDescent="0.2"/>
  <cols>
    <col min="1" max="1" width="34" style="6" customWidth="1"/>
    <col min="2" max="6" width="14" style="6" customWidth="1"/>
  </cols>
  <sheetData>
    <row r="1" spans="1:6" ht="27.75" customHeight="1" x14ac:dyDescent="0.2">
      <c r="A1" s="2" t="s">
        <v>190</v>
      </c>
      <c r="B1" s="2"/>
      <c r="C1" s="2"/>
      <c r="D1" s="2"/>
      <c r="E1" s="2"/>
      <c r="F1" s="2"/>
    </row>
    <row r="2" spans="1:6" ht="19.5" customHeight="1" x14ac:dyDescent="0.2">
      <c r="A2" s="4" t="s">
        <v>191</v>
      </c>
      <c r="B2" s="4"/>
      <c r="C2" s="4"/>
      <c r="D2" s="4"/>
      <c r="E2" s="4"/>
      <c r="F2" s="4"/>
    </row>
    <row r="3" spans="1:6" ht="19.5" customHeight="1" x14ac:dyDescent="0.2">
      <c r="B3" s="33" t="s">
        <v>226</v>
      </c>
      <c r="C3" s="33" t="s">
        <v>192</v>
      </c>
      <c r="D3" s="33" t="s">
        <v>193</v>
      </c>
      <c r="E3" s="33" t="s">
        <v>194</v>
      </c>
      <c r="F3" s="33" t="s">
        <v>195</v>
      </c>
    </row>
    <row r="4" spans="1:6" ht="19.5" customHeight="1" x14ac:dyDescent="0.2">
      <c r="A4" s="4" t="s">
        <v>196</v>
      </c>
      <c r="B4" s="4"/>
      <c r="C4" s="4"/>
      <c r="D4" s="4"/>
      <c r="E4" s="4"/>
      <c r="F4" s="4"/>
    </row>
    <row r="5" spans="1:6" ht="15" customHeight="1" x14ac:dyDescent="0.2">
      <c r="A5" s="10" t="s">
        <v>197</v>
      </c>
      <c r="B5" s="21">
        <v>350000</v>
      </c>
      <c r="C5" s="21">
        <v>550000</v>
      </c>
      <c r="D5" s="21">
        <v>700000</v>
      </c>
      <c r="E5" s="21">
        <v>850000</v>
      </c>
      <c r="F5" s="21">
        <v>900000</v>
      </c>
    </row>
    <row r="6" spans="1:6" ht="15" customHeight="1" x14ac:dyDescent="0.2">
      <c r="A6" s="7" t="s">
        <v>198</v>
      </c>
      <c r="B6" s="22">
        <v>55000</v>
      </c>
      <c r="C6" s="22">
        <v>75000</v>
      </c>
      <c r="D6" s="22">
        <v>95000</v>
      </c>
      <c r="E6" s="22">
        <v>115000</v>
      </c>
      <c r="F6" s="22">
        <v>120000</v>
      </c>
    </row>
    <row r="7" spans="1:6" ht="15" customHeight="1" x14ac:dyDescent="0.2">
      <c r="A7" s="10" t="s">
        <v>199</v>
      </c>
      <c r="B7" s="21">
        <v>50000</v>
      </c>
      <c r="C7" s="21">
        <v>100000</v>
      </c>
      <c r="D7" s="21">
        <v>160000</v>
      </c>
      <c r="E7" s="21">
        <v>180000</v>
      </c>
      <c r="F7" s="21">
        <v>200000</v>
      </c>
    </row>
    <row r="8" spans="1:6" ht="15" customHeight="1" x14ac:dyDescent="0.2">
      <c r="A8" s="7" t="s">
        <v>200</v>
      </c>
      <c r="B8" s="22">
        <v>0</v>
      </c>
      <c r="C8" s="22">
        <v>30000</v>
      </c>
      <c r="D8" s="22">
        <v>65000</v>
      </c>
      <c r="E8" s="22">
        <v>100000</v>
      </c>
      <c r="F8" s="22">
        <v>100000</v>
      </c>
    </row>
    <row r="9" spans="1:6" ht="15" customHeight="1" x14ac:dyDescent="0.2">
      <c r="A9" s="15" t="s">
        <v>201</v>
      </c>
      <c r="B9" s="20">
        <f>SUM(B5:B8)</f>
        <v>455000</v>
      </c>
      <c r="C9" s="20">
        <f>SUM(C5:C8)</f>
        <v>755000</v>
      </c>
      <c r="D9" s="20">
        <f>SUM(D5:D8)</f>
        <v>1020000</v>
      </c>
      <c r="E9" s="20">
        <f>SUM(E5:E8)</f>
        <v>1245000</v>
      </c>
      <c r="F9" s="20">
        <f>SUM(F5:F8)</f>
        <v>1320000</v>
      </c>
    </row>
    <row r="10" spans="1:6" ht="19.5" customHeight="1" x14ac:dyDescent="0.2">
      <c r="A10" s="4" t="s">
        <v>202</v>
      </c>
      <c r="B10" s="4"/>
      <c r="C10" s="4"/>
      <c r="D10" s="4"/>
      <c r="E10" s="4"/>
      <c r="F10" s="4"/>
    </row>
    <row r="11" spans="1:6" ht="15" customHeight="1" x14ac:dyDescent="0.2">
      <c r="A11" s="10" t="s">
        <v>203</v>
      </c>
      <c r="B11" s="11">
        <f>B5*0.45</f>
        <v>157500</v>
      </c>
      <c r="C11" s="11">
        <f>C5*0.45</f>
        <v>247500</v>
      </c>
      <c r="D11" s="11">
        <f>D5*0.45</f>
        <v>315000</v>
      </c>
      <c r="E11" s="11">
        <f>E5*0.45</f>
        <v>382500</v>
      </c>
      <c r="F11" s="11">
        <f>F5*0.45</f>
        <v>405000</v>
      </c>
    </row>
    <row r="12" spans="1:6" ht="15" customHeight="1" x14ac:dyDescent="0.2">
      <c r="A12" s="7" t="s">
        <v>204</v>
      </c>
      <c r="B12" s="8">
        <f>B6*0.28</f>
        <v>15400.000000000002</v>
      </c>
      <c r="C12" s="8">
        <f>C6*0.28</f>
        <v>21000.000000000004</v>
      </c>
      <c r="D12" s="8">
        <f>D6*0.28</f>
        <v>26600.000000000004</v>
      </c>
      <c r="E12" s="8">
        <f>E6*0.28</f>
        <v>32200.000000000004</v>
      </c>
      <c r="F12" s="8">
        <f>F6*0.28</f>
        <v>33600</v>
      </c>
    </row>
    <row r="13" spans="1:6" ht="15" customHeight="1" x14ac:dyDescent="0.2">
      <c r="A13" s="10" t="s">
        <v>205</v>
      </c>
      <c r="B13" s="11">
        <f>B7*0.18</f>
        <v>9000</v>
      </c>
      <c r="C13" s="11">
        <f>C7*0.18</f>
        <v>18000</v>
      </c>
      <c r="D13" s="11">
        <f>D7*0.18</f>
        <v>28800</v>
      </c>
      <c r="E13" s="11">
        <f>E7*0.18</f>
        <v>32400</v>
      </c>
      <c r="F13" s="11">
        <f>F7*0.18</f>
        <v>36000</v>
      </c>
    </row>
    <row r="14" spans="1:6" ht="15" customHeight="1" x14ac:dyDescent="0.2">
      <c r="A14" s="7" t="s">
        <v>206</v>
      </c>
      <c r="B14" s="8">
        <f>B8*0.4</f>
        <v>0</v>
      </c>
      <c r="C14" s="8">
        <f>C8*0.4</f>
        <v>12000</v>
      </c>
      <c r="D14" s="8">
        <f>D8*0.4</f>
        <v>26000</v>
      </c>
      <c r="E14" s="8">
        <f>E8*0.4</f>
        <v>40000</v>
      </c>
      <c r="F14" s="8">
        <f>F8*0.4</f>
        <v>40000</v>
      </c>
    </row>
    <row r="15" spans="1:6" ht="15" customHeight="1" x14ac:dyDescent="0.2">
      <c r="A15" s="15" t="s">
        <v>207</v>
      </c>
      <c r="B15" s="20">
        <f>B9-SUM(B11:B14)</f>
        <v>273100</v>
      </c>
      <c r="C15" s="20">
        <f>C9-SUM(C11:C14)</f>
        <v>456500</v>
      </c>
      <c r="D15" s="20">
        <f>D9-SUM(D11:D14)</f>
        <v>623600</v>
      </c>
      <c r="E15" s="20">
        <f>E9-SUM(E11:E14)</f>
        <v>757900</v>
      </c>
      <c r="F15" s="20">
        <f>F9-SUM(F11:F14)</f>
        <v>805400</v>
      </c>
    </row>
    <row r="16" spans="1:6" ht="15" customHeight="1" x14ac:dyDescent="0.2">
      <c r="A16" s="9" t="s">
        <v>208</v>
      </c>
      <c r="B16" s="29">
        <f>IFERROR(B15/B9,0)</f>
        <v>0.60021978021978017</v>
      </c>
      <c r="C16" s="29">
        <f>IFERROR(C15/C9,0)</f>
        <v>0.60463576158940402</v>
      </c>
      <c r="D16" s="29">
        <f>IFERROR(D15/D9,0)</f>
        <v>0.6113725490196078</v>
      </c>
      <c r="E16" s="29">
        <f>IFERROR(E15/E9,0)</f>
        <v>0.60875502008032123</v>
      </c>
      <c r="F16" s="29">
        <f>IFERROR(F15/F9,0)</f>
        <v>0.61015151515151511</v>
      </c>
    </row>
    <row r="17" spans="1:6" ht="19.5" customHeight="1" x14ac:dyDescent="0.2">
      <c r="A17" s="4" t="s">
        <v>209</v>
      </c>
      <c r="B17" s="4"/>
      <c r="C17" s="4"/>
      <c r="D17" s="4"/>
      <c r="E17" s="4"/>
      <c r="F17" s="4"/>
    </row>
    <row r="18" spans="1:6" ht="15" customHeight="1" x14ac:dyDescent="0.2">
      <c r="A18" s="10" t="s">
        <v>210</v>
      </c>
      <c r="B18" s="21"/>
      <c r="C18" s="21">
        <v>75000</v>
      </c>
      <c r="D18" s="21">
        <v>125000</v>
      </c>
      <c r="E18" s="21">
        <v>200000</v>
      </c>
      <c r="F18" s="21">
        <v>200000</v>
      </c>
    </row>
    <row r="19" spans="1:6" ht="15" customHeight="1" x14ac:dyDescent="0.2">
      <c r="A19" s="7" t="s">
        <v>211</v>
      </c>
      <c r="B19" s="8">
        <f>Assumptions!$B$44</f>
        <v>326721.21131781646</v>
      </c>
      <c r="C19" s="8">
        <f>Assumptions!$B$44</f>
        <v>326721.21131781646</v>
      </c>
      <c r="D19" s="8">
        <f>Assumptions!$B$44</f>
        <v>326721.21131781646</v>
      </c>
      <c r="E19" s="8">
        <f>Assumptions!$B$44</f>
        <v>326721.21131781646</v>
      </c>
      <c r="F19" s="8">
        <f>Assumptions!$B$44</f>
        <v>326721.21131781646</v>
      </c>
    </row>
    <row r="20" spans="1:6" ht="15" customHeight="1" x14ac:dyDescent="0.2">
      <c r="A20" s="10" t="s">
        <v>212</v>
      </c>
      <c r="B20" s="21">
        <v>18000</v>
      </c>
      <c r="C20" s="21">
        <v>28000</v>
      </c>
      <c r="D20" s="21">
        <v>30000</v>
      </c>
      <c r="E20" s="21">
        <v>31000</v>
      </c>
      <c r="F20" s="21">
        <v>32000</v>
      </c>
    </row>
    <row r="21" spans="1:6" ht="15" customHeight="1" x14ac:dyDescent="0.2">
      <c r="A21" s="7" t="s">
        <v>213</v>
      </c>
      <c r="B21" s="22">
        <v>15000</v>
      </c>
      <c r="C21" s="22">
        <v>24000</v>
      </c>
      <c r="D21" s="22">
        <v>27000</v>
      </c>
      <c r="E21" s="22">
        <v>30000</v>
      </c>
      <c r="F21" s="22">
        <v>33000</v>
      </c>
    </row>
    <row r="22" spans="1:6" ht="15" customHeight="1" x14ac:dyDescent="0.2">
      <c r="A22" s="10" t="s">
        <v>214</v>
      </c>
      <c r="B22" s="21">
        <v>8000</v>
      </c>
      <c r="C22" s="21">
        <v>12000</v>
      </c>
      <c r="D22" s="21">
        <v>13000</v>
      </c>
      <c r="E22" s="21">
        <v>14000</v>
      </c>
      <c r="F22" s="21">
        <v>15000</v>
      </c>
    </row>
    <row r="23" spans="1:6" ht="15" customHeight="1" x14ac:dyDescent="0.2">
      <c r="A23" s="7" t="s">
        <v>215</v>
      </c>
      <c r="B23" s="22">
        <v>10000</v>
      </c>
      <c r="C23" s="22">
        <v>15000</v>
      </c>
      <c r="D23" s="22">
        <v>16000</v>
      </c>
      <c r="E23" s="22">
        <v>17000</v>
      </c>
      <c r="F23" s="22">
        <v>18000</v>
      </c>
    </row>
    <row r="24" spans="1:6" ht="15" customHeight="1" x14ac:dyDescent="0.2">
      <c r="A24" s="15" t="s">
        <v>216</v>
      </c>
      <c r="B24" s="20">
        <f>SUM(B18:B23)</f>
        <v>377721.21131781646</v>
      </c>
      <c r="C24" s="20">
        <f>SUM(C18:C23)</f>
        <v>480721.21131781646</v>
      </c>
      <c r="D24" s="20">
        <f>SUM(D18:D23)</f>
        <v>537721.21131781652</v>
      </c>
      <c r="E24" s="20">
        <f>SUM(E18:E23)</f>
        <v>618721.21131781652</v>
      </c>
      <c r="F24" s="20">
        <f>SUM(F18:F23)</f>
        <v>624721.21131781652</v>
      </c>
    </row>
    <row r="25" spans="1:6" ht="19.5" customHeight="1" x14ac:dyDescent="0.2">
      <c r="A25" s="1" t="s">
        <v>217</v>
      </c>
      <c r="B25" s="1"/>
      <c r="C25" s="1"/>
      <c r="D25" s="1"/>
      <c r="E25" s="1"/>
      <c r="F25" s="1"/>
    </row>
    <row r="26" spans="1:6" ht="15" customHeight="1" x14ac:dyDescent="0.2">
      <c r="A26" s="15" t="s">
        <v>218</v>
      </c>
      <c r="B26" s="34">
        <f>B15-(B18+B20+B21+B22+B23)</f>
        <v>222100</v>
      </c>
      <c r="C26" s="34">
        <f>C15-(C18+C20+C21+C22+C23)</f>
        <v>302500</v>
      </c>
      <c r="D26" s="34">
        <f>D15-(D18+D20+D21+D22+D23)</f>
        <v>412600</v>
      </c>
      <c r="E26" s="34">
        <f>E15-(E18+E20+E21+E22+E23)</f>
        <v>465900</v>
      </c>
      <c r="F26" s="34">
        <f>F15-(F18+F20+F21+F22+F23)</f>
        <v>507400</v>
      </c>
    </row>
    <row r="27" spans="1:6" ht="15" customHeight="1" x14ac:dyDescent="0.2">
      <c r="A27" s="7" t="s">
        <v>219</v>
      </c>
      <c r="B27" s="35">
        <f>IFERROR(B26/B9,0)</f>
        <v>0.48813186813186815</v>
      </c>
      <c r="C27" s="35">
        <f>IFERROR(C26/C9,0)</f>
        <v>0.40066225165562913</v>
      </c>
      <c r="D27" s="35">
        <f>IFERROR(D26/D9,0)</f>
        <v>0.4045098039215686</v>
      </c>
      <c r="E27" s="35">
        <f>IFERROR(E26/E9,0)</f>
        <v>0.37421686746987953</v>
      </c>
      <c r="F27" s="35">
        <f>IFERROR(F26/F9,0)</f>
        <v>0.3843939393939394</v>
      </c>
    </row>
    <row r="28" spans="1:6" ht="15" customHeight="1" x14ac:dyDescent="0.2">
      <c r="A28" s="10" t="s">
        <v>28</v>
      </c>
      <c r="B28" s="36">
        <f>Assumptions!$B$44</f>
        <v>326721.21131781646</v>
      </c>
      <c r="C28" s="36">
        <f>Assumptions!$B$44</f>
        <v>326721.21131781646</v>
      </c>
      <c r="D28" s="36">
        <f>Assumptions!$B$44</f>
        <v>326721.21131781646</v>
      </c>
      <c r="E28" s="36">
        <f>Assumptions!$B$44</f>
        <v>326721.21131781646</v>
      </c>
      <c r="F28" s="36">
        <f>Assumptions!$B$44</f>
        <v>326721.21131781646</v>
      </c>
    </row>
    <row r="29" spans="1:6" ht="15" customHeight="1" x14ac:dyDescent="0.2">
      <c r="A29" s="7" t="s">
        <v>220</v>
      </c>
      <c r="B29" s="37">
        <f>B26-B28</f>
        <v>-104621.21131781646</v>
      </c>
      <c r="C29" s="37">
        <f>C26-C28</f>
        <v>-24221.211317816458</v>
      </c>
      <c r="D29" s="37">
        <f>D26-D28</f>
        <v>85878.788682183542</v>
      </c>
      <c r="E29" s="37">
        <f>E26-E28</f>
        <v>139178.78868218354</v>
      </c>
      <c r="F29" s="37">
        <f>F26-F28</f>
        <v>180678.78868218354</v>
      </c>
    </row>
    <row r="30" spans="1:6" ht="15" customHeight="1" x14ac:dyDescent="0.2">
      <c r="A30" s="10" t="s">
        <v>221</v>
      </c>
      <c r="B30" s="36">
        <f>Assumptions!$B$53*12</f>
        <v>54000</v>
      </c>
      <c r="C30" s="36">
        <f>Assumptions!$B$53*12</f>
        <v>54000</v>
      </c>
      <c r="D30" s="36">
        <f>Assumptions!$B$53*12</f>
        <v>54000</v>
      </c>
      <c r="E30" s="36">
        <f>Assumptions!$B$53*12</f>
        <v>54000</v>
      </c>
      <c r="F30" s="36">
        <f>Assumptions!$B$53*12</f>
        <v>54000</v>
      </c>
    </row>
    <row r="31" spans="1:6" ht="15" customHeight="1" x14ac:dyDescent="0.2">
      <c r="A31" s="15" t="s">
        <v>222</v>
      </c>
      <c r="B31" s="38">
        <f>IFERROR(B26/B28,0)</f>
        <v>0.67978445324736914</v>
      </c>
      <c r="C31" s="38">
        <f>IFERROR(C26/C28,0)</f>
        <v>0.92586581318023031</v>
      </c>
      <c r="D31" s="38">
        <f>IFERROR(D26/D28,0)</f>
        <v>1.2628503620435141</v>
      </c>
      <c r="E31" s="38">
        <f>IFERROR(E26/E28,0)</f>
        <v>1.4259863879691548</v>
      </c>
      <c r="F31" s="38">
        <f>IFERROR(F26/F28,0)</f>
        <v>1.5530059953971862</v>
      </c>
    </row>
    <row r="32" spans="1:6" ht="15" customHeight="1" x14ac:dyDescent="0.2">
      <c r="A32" s="15" t="s">
        <v>223</v>
      </c>
      <c r="B32" s="38">
        <f>IFERROR((B26+B30)/B28,0)</f>
        <v>0.84506297857541024</v>
      </c>
      <c r="C32" s="38">
        <f>IFERROR((C26+C30)/C28,0)</f>
        <v>1.0911443385082715</v>
      </c>
      <c r="D32" s="38">
        <f>IFERROR((D26+D30)/D28,0)</f>
        <v>1.4281288873715552</v>
      </c>
      <c r="E32" s="38">
        <f>IFERROR((E26+E30)/E28,0)</f>
        <v>1.5912649132971959</v>
      </c>
      <c r="F32" s="38">
        <f>IFERROR((F26+F30)/F28,0)</f>
        <v>1.7182845207252275</v>
      </c>
    </row>
  </sheetData>
  <mergeCells count="6">
    <mergeCell ref="A25:F25"/>
    <mergeCell ref="A1:F1"/>
    <mergeCell ref="A2:F2"/>
    <mergeCell ref="A4:F4"/>
    <mergeCell ref="A10:F10"/>
    <mergeCell ref="A17:F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Executive Summary</vt:lpstr>
      <vt:lpstr>Assumptions</vt:lpstr>
      <vt:lpstr>Capital Stack</vt:lpstr>
      <vt:lpstr>P&amp;L 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Michael Babin</cp:lastModifiedBy>
  <cp:revision>0</cp:revision>
  <dcterms:created xsi:type="dcterms:W3CDTF">2026-03-12T18:15:05Z</dcterms:created>
  <dcterms:modified xsi:type="dcterms:W3CDTF">2026-03-15T23:04:55Z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2e71fc-603a-4991-9ef1-54ffca0b285c_Enabled">
    <vt:lpwstr>true</vt:lpwstr>
  </property>
  <property fmtid="{D5CDD505-2E9C-101B-9397-08002B2CF9AE}" pid="3" name="MSIP_Label_562e71fc-603a-4991-9ef1-54ffca0b285c_SetDate">
    <vt:lpwstr>2026-03-15T21:30:21Z</vt:lpwstr>
  </property>
  <property fmtid="{D5CDD505-2E9C-101B-9397-08002B2CF9AE}" pid="4" name="MSIP_Label_562e71fc-603a-4991-9ef1-54ffca0b285c_Method">
    <vt:lpwstr>Privileged</vt:lpwstr>
  </property>
  <property fmtid="{D5CDD505-2E9C-101B-9397-08002B2CF9AE}" pid="5" name="MSIP_Label_562e71fc-603a-4991-9ef1-54ffca0b285c_Name">
    <vt:lpwstr>General</vt:lpwstr>
  </property>
  <property fmtid="{D5CDD505-2E9C-101B-9397-08002B2CF9AE}" pid="6" name="MSIP_Label_562e71fc-603a-4991-9ef1-54ffca0b285c_SiteId">
    <vt:lpwstr>717c22e4-9a65-4d93-a904-951e401c0840</vt:lpwstr>
  </property>
  <property fmtid="{D5CDD505-2E9C-101B-9397-08002B2CF9AE}" pid="7" name="MSIP_Label_562e71fc-603a-4991-9ef1-54ffca0b285c_ActionId">
    <vt:lpwstr>5d0f6477-b956-4c68-945d-0a9b7c21c965</vt:lpwstr>
  </property>
  <property fmtid="{D5CDD505-2E9C-101B-9397-08002B2CF9AE}" pid="8" name="MSIP_Label_562e71fc-603a-4991-9ef1-54ffca0b285c_ContentBits">
    <vt:lpwstr>0</vt:lpwstr>
  </property>
  <property fmtid="{D5CDD505-2E9C-101B-9397-08002B2CF9AE}" pid="9" name="MSIP_Label_562e71fc-603a-4991-9ef1-54ffca0b285c_Tag">
    <vt:lpwstr>50, 0, 1, 1</vt:lpwstr>
  </property>
</Properties>
</file>